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0730" windowHeight="11760" tabRatio="896"/>
  </bookViews>
  <sheets>
    <sheet name="Assumptions" sheetId="8" r:id="rId1"/>
    <sheet name="Revenue Build" sheetId="1" r:id="rId2"/>
    <sheet name="Costs Build" sheetId="2" r:id="rId3"/>
    <sheet name="DCF" sheetId="3" r:id="rId4"/>
    <sheet name="WACC" sheetId="6" r:id="rId5"/>
    <sheet name="NWC" sheetId="7" r:id="rId6"/>
    <sheet name="FootballField" sheetId="9" r:id="rId7"/>
    <sheet name="Precedents" sheetId="10" r:id="rId8"/>
    <sheet name="_CIQHiddenCacheSheet" sheetId="34" state="veryHidden" r:id="rId9"/>
    <sheet name="Precedents Data" sheetId="11" r:id="rId10"/>
    <sheet name="Market Multiples Analysis" sheetId="14" r:id="rId11"/>
    <sheet name="Performance Analysis" sheetId="15" r:id="rId12"/>
    <sheet name="Historical Performance" sheetId="16"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a">#REF!</definedName>
    <definedName name="Annual" localSheetId="6">[1]IS!#REF!</definedName>
    <definedName name="Annual">[2]IS!#REF!</definedName>
    <definedName name="B">#REF!</definedName>
    <definedName name="Balancesheet" localSheetId="6">[1]IS!#REF!</definedName>
    <definedName name="Balancesheet">[2]IS!#REF!</definedName>
    <definedName name="CIQWBGuid" hidden="1">"b18ee717-d3c9-4ebe-b782-b6011e03cc14"</definedName>
    <definedName name="Comprables">#REF!</definedName>
    <definedName name="conf">#REF!</definedName>
    <definedName name="d">#REF!</definedName>
    <definedName name="F">#REF!</definedName>
    <definedName name="FirstCall">#REF!</definedName>
    <definedName name="growth.rate" localSheetId="6">[1]DCFTV!#REF!</definedName>
    <definedName name="growth.rate">[2]DCFTV!#REF!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 hidden="1">"IQ_EPS"</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41252.0113773148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EDATETIME" hidden="1">"IQ_PRICEDATETIME"</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NUSUAL_EXP" hidden="1">"c18"</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m">#REF!</definedName>
    <definedName name="Output" localSheetId="6">[3]Equity!#REF!</definedName>
    <definedName name="Output">[4]Equity!#REF!</definedName>
    <definedName name="price" localSheetId="6">[1]IS!#REF!</definedName>
    <definedName name="price">[2]IS!#REF!</definedName>
    <definedName name="_xlnm.Print_Area" localSheetId="6">FootballField!$B$1:$L$28</definedName>
    <definedName name="_xlnm.Print_Area" localSheetId="12">'Historical Performance'!$B$1:$AB$53</definedName>
    <definedName name="_xlnm.Print_Area" localSheetId="10">'Market Multiples Analysis'!$B$1:$R$71</definedName>
    <definedName name="_xlnm.Print_Area" localSheetId="11">'Performance Analysis'!$B$1:$O$53</definedName>
    <definedName name="Printsheet">[5]!Printsheet</definedName>
    <definedName name="q">#REF!</definedName>
    <definedName name="qvq">#REF!</definedName>
    <definedName name="qvqwithc">#REF!</definedName>
    <definedName name="rp">[6]IS!#REF!</definedName>
    <definedName name="sd" localSheetId="6">[1]IS!#REF!</definedName>
    <definedName name="sd">[2]IS!#REF!</definedName>
    <definedName name="sd.old" localSheetId="6">[1]IS!#REF!</definedName>
    <definedName name="sd.old">[2]IS!#REF!</definedName>
    <definedName name="stock_price_date" localSheetId="6">'[7]Comp Inputs'!$E$2</definedName>
    <definedName name="stock_price_date">'[8]Comp Inputs'!$E$2</definedName>
  </definedNames>
  <calcPr calcId="145621"/>
</workbook>
</file>

<file path=xl/calcChain.xml><?xml version="1.0" encoding="utf-8"?>
<calcChain xmlns="http://schemas.openxmlformats.org/spreadsheetml/2006/main">
  <c r="D30" i="3" l="1"/>
  <c r="Q46" i="1"/>
  <c r="K53" i="14"/>
  <c r="AB51" i="16" l="1"/>
  <c r="AA51" i="16"/>
  <c r="Z51" i="16"/>
  <c r="Y51" i="16"/>
  <c r="X51" i="16"/>
  <c r="W51" i="16"/>
  <c r="V51" i="16"/>
  <c r="U51" i="16"/>
  <c r="T51" i="16"/>
  <c r="S51" i="16"/>
  <c r="R51" i="16"/>
  <c r="Q51" i="16"/>
  <c r="P51" i="16"/>
  <c r="O51" i="16"/>
  <c r="N51" i="16"/>
  <c r="M51" i="16"/>
  <c r="L51" i="16"/>
  <c r="K51" i="16"/>
  <c r="J51" i="16"/>
  <c r="I51" i="16"/>
  <c r="AB50" i="16"/>
  <c r="AA50" i="16"/>
  <c r="Z50" i="16"/>
  <c r="Y50" i="16"/>
  <c r="X50" i="16"/>
  <c r="W50" i="16"/>
  <c r="V50" i="16"/>
  <c r="U50" i="16"/>
  <c r="T50" i="16"/>
  <c r="S50" i="16"/>
  <c r="R50" i="16"/>
  <c r="Q50" i="16"/>
  <c r="P50" i="16"/>
  <c r="O50" i="16"/>
  <c r="N50" i="16"/>
  <c r="M50" i="16"/>
  <c r="L50" i="16"/>
  <c r="K50" i="16"/>
  <c r="J50" i="16"/>
  <c r="I50" i="16"/>
  <c r="AB49" i="16"/>
  <c r="AA49" i="16"/>
  <c r="Z49" i="16"/>
  <c r="Y49" i="16"/>
  <c r="X49" i="16"/>
  <c r="W49" i="16"/>
  <c r="V49" i="16"/>
  <c r="U49" i="16"/>
  <c r="T49" i="16"/>
  <c r="S49" i="16"/>
  <c r="R49" i="16"/>
  <c r="Q49" i="16"/>
  <c r="P49" i="16"/>
  <c r="O49" i="16"/>
  <c r="N49" i="16"/>
  <c r="M49" i="16"/>
  <c r="L49" i="16"/>
  <c r="K49" i="16"/>
  <c r="J49" i="16"/>
  <c r="I49" i="16"/>
  <c r="AB48" i="16"/>
  <c r="AA48" i="16"/>
  <c r="Z48" i="16"/>
  <c r="Y48" i="16"/>
  <c r="X48" i="16"/>
  <c r="W48" i="16"/>
  <c r="V48" i="16"/>
  <c r="U48" i="16"/>
  <c r="T48" i="16"/>
  <c r="S48" i="16"/>
  <c r="R48" i="16"/>
  <c r="Q48" i="16"/>
  <c r="P48" i="16"/>
  <c r="O48" i="16"/>
  <c r="N48" i="16"/>
  <c r="M48" i="16"/>
  <c r="L48" i="16"/>
  <c r="K48" i="16"/>
  <c r="J48" i="16"/>
  <c r="I48" i="16"/>
  <c r="AB38" i="16"/>
  <c r="AA38" i="16"/>
  <c r="Z38" i="16"/>
  <c r="Y38" i="16"/>
  <c r="X38" i="16"/>
  <c r="W38" i="16"/>
  <c r="V38" i="16"/>
  <c r="U38" i="16"/>
  <c r="T38" i="16"/>
  <c r="S38" i="16"/>
  <c r="R38" i="16"/>
  <c r="Q38" i="16"/>
  <c r="P38" i="16"/>
  <c r="O38" i="16"/>
  <c r="N38" i="16"/>
  <c r="M38" i="16"/>
  <c r="L38" i="16"/>
  <c r="K38" i="16"/>
  <c r="J38" i="16"/>
  <c r="I38" i="16"/>
  <c r="AB37" i="16"/>
  <c r="AA37" i="16"/>
  <c r="Z37" i="16"/>
  <c r="Y37" i="16"/>
  <c r="X37" i="16"/>
  <c r="W37" i="16"/>
  <c r="V37" i="16"/>
  <c r="U37" i="16"/>
  <c r="T37" i="16"/>
  <c r="S37" i="16"/>
  <c r="R37" i="16"/>
  <c r="Q37" i="16"/>
  <c r="P37" i="16"/>
  <c r="O37" i="16"/>
  <c r="N37" i="16"/>
  <c r="M37" i="16"/>
  <c r="L37" i="16"/>
  <c r="K37" i="16"/>
  <c r="J37" i="16"/>
  <c r="I37" i="16"/>
  <c r="AB36" i="16"/>
  <c r="AA36" i="16"/>
  <c r="Z36" i="16"/>
  <c r="Y36" i="16"/>
  <c r="X36" i="16"/>
  <c r="W36" i="16"/>
  <c r="V36" i="16"/>
  <c r="U36" i="16"/>
  <c r="T36" i="16"/>
  <c r="S36" i="16"/>
  <c r="R36" i="16"/>
  <c r="Q36" i="16"/>
  <c r="P36" i="16"/>
  <c r="O36" i="16"/>
  <c r="N36" i="16"/>
  <c r="M36" i="16"/>
  <c r="L36" i="16"/>
  <c r="K36" i="16"/>
  <c r="J36" i="16"/>
  <c r="I36" i="16"/>
  <c r="AB35" i="16"/>
  <c r="AA35" i="16"/>
  <c r="Z35" i="16"/>
  <c r="Y35" i="16"/>
  <c r="X35" i="16"/>
  <c r="W35" i="16"/>
  <c r="V35" i="16"/>
  <c r="U35" i="16"/>
  <c r="T35" i="16"/>
  <c r="S35" i="16"/>
  <c r="R35" i="16"/>
  <c r="Q35" i="16"/>
  <c r="P35" i="16"/>
  <c r="O35" i="16"/>
  <c r="N35" i="16"/>
  <c r="M35" i="16"/>
  <c r="L35" i="16"/>
  <c r="K35" i="16"/>
  <c r="J35" i="16"/>
  <c r="I35" i="16"/>
  <c r="AB27" i="16"/>
  <c r="AA27" i="16"/>
  <c r="Z27" i="16"/>
  <c r="Y27" i="16"/>
  <c r="X27" i="16"/>
  <c r="W27" i="16"/>
  <c r="V27" i="16"/>
  <c r="U27" i="16"/>
  <c r="T27" i="16"/>
  <c r="S27" i="16"/>
  <c r="R27" i="16"/>
  <c r="Q27" i="16"/>
  <c r="P27" i="16"/>
  <c r="O27" i="16"/>
  <c r="N27" i="16"/>
  <c r="M27" i="16"/>
  <c r="L27" i="16"/>
  <c r="K27" i="16"/>
  <c r="J27" i="16"/>
  <c r="I27" i="16"/>
  <c r="AB26" i="16"/>
  <c r="AA26" i="16"/>
  <c r="Z26" i="16"/>
  <c r="Y26" i="16"/>
  <c r="X26" i="16"/>
  <c r="W26" i="16"/>
  <c r="V26" i="16"/>
  <c r="U26" i="16"/>
  <c r="T26" i="16"/>
  <c r="S26" i="16"/>
  <c r="R26" i="16"/>
  <c r="Q26" i="16"/>
  <c r="P26" i="16"/>
  <c r="O26" i="16"/>
  <c r="N26" i="16"/>
  <c r="M26" i="16"/>
  <c r="L26" i="16"/>
  <c r="K26" i="16"/>
  <c r="J26" i="16"/>
  <c r="I26" i="16"/>
  <c r="AB25" i="16"/>
  <c r="AA25" i="16"/>
  <c r="Z25" i="16"/>
  <c r="Y25" i="16"/>
  <c r="X25" i="16"/>
  <c r="W25" i="16"/>
  <c r="V25" i="16"/>
  <c r="U25" i="16"/>
  <c r="T25" i="16"/>
  <c r="S25" i="16"/>
  <c r="R25" i="16"/>
  <c r="Q25" i="16"/>
  <c r="P25" i="16"/>
  <c r="O25" i="16"/>
  <c r="N25" i="16"/>
  <c r="M25" i="16"/>
  <c r="L25" i="16"/>
  <c r="K25" i="16"/>
  <c r="J25" i="16"/>
  <c r="I25" i="16"/>
  <c r="AB24" i="16"/>
  <c r="AA24" i="16"/>
  <c r="Z24" i="16"/>
  <c r="Y24" i="16"/>
  <c r="X24" i="16"/>
  <c r="W24" i="16"/>
  <c r="V24" i="16"/>
  <c r="U24" i="16"/>
  <c r="T24" i="16"/>
  <c r="S24" i="16"/>
  <c r="R24" i="16"/>
  <c r="Q24" i="16"/>
  <c r="P24" i="16"/>
  <c r="O24" i="16"/>
  <c r="N24" i="16"/>
  <c r="M24" i="16"/>
  <c r="L24" i="16"/>
  <c r="K24" i="16"/>
  <c r="J24" i="16"/>
  <c r="I24" i="16"/>
  <c r="AB12" i="16"/>
  <c r="AA12" i="16"/>
  <c r="Z12" i="16"/>
  <c r="Y12" i="16"/>
  <c r="X12" i="16"/>
  <c r="W12" i="16"/>
  <c r="V12" i="16"/>
  <c r="U12" i="16"/>
  <c r="T12" i="16"/>
  <c r="S12" i="16"/>
  <c r="R12" i="16"/>
  <c r="Q12" i="16"/>
  <c r="P12" i="16"/>
  <c r="O12" i="16"/>
  <c r="N12" i="16"/>
  <c r="M12" i="16"/>
  <c r="L12" i="16"/>
  <c r="K12" i="16"/>
  <c r="J12" i="16"/>
  <c r="I12" i="16"/>
  <c r="AB11" i="16"/>
  <c r="AA11" i="16"/>
  <c r="Z11" i="16"/>
  <c r="Y11" i="16"/>
  <c r="X11" i="16"/>
  <c r="W11" i="16"/>
  <c r="V11" i="16"/>
  <c r="U11" i="16"/>
  <c r="T11" i="16"/>
  <c r="S11" i="16"/>
  <c r="R11" i="16"/>
  <c r="Q11" i="16"/>
  <c r="P11" i="16"/>
  <c r="O11" i="16"/>
  <c r="N11" i="16"/>
  <c r="M11" i="16"/>
  <c r="L11" i="16"/>
  <c r="K11" i="16"/>
  <c r="J11" i="16"/>
  <c r="I11" i="16"/>
  <c r="AB10" i="16"/>
  <c r="AA10" i="16"/>
  <c r="Z10" i="16"/>
  <c r="Y10" i="16"/>
  <c r="X10" i="16"/>
  <c r="W10" i="16"/>
  <c r="V10" i="16"/>
  <c r="U10" i="16"/>
  <c r="T10" i="16"/>
  <c r="S10" i="16"/>
  <c r="R10" i="16"/>
  <c r="Q10" i="16"/>
  <c r="P10" i="16"/>
  <c r="O10" i="16"/>
  <c r="N10" i="16"/>
  <c r="M10" i="16"/>
  <c r="L10" i="16"/>
  <c r="K10" i="16"/>
  <c r="J10" i="16"/>
  <c r="I10" i="16"/>
  <c r="AB9" i="16"/>
  <c r="AA9" i="16"/>
  <c r="Z9" i="16"/>
  <c r="Y9" i="16"/>
  <c r="X9" i="16"/>
  <c r="W9" i="16"/>
  <c r="V9" i="16"/>
  <c r="U9" i="16"/>
  <c r="T9" i="16"/>
  <c r="S9" i="16"/>
  <c r="R9" i="16"/>
  <c r="Q9" i="16"/>
  <c r="P9" i="16"/>
  <c r="O9" i="16"/>
  <c r="N9" i="16"/>
  <c r="M9" i="16"/>
  <c r="L9" i="16"/>
  <c r="K9" i="16"/>
  <c r="J9" i="16"/>
  <c r="I9" i="16"/>
  <c r="O51" i="15"/>
  <c r="N51" i="15"/>
  <c r="M51" i="15"/>
  <c r="L51" i="15"/>
  <c r="K51" i="15"/>
  <c r="J51" i="15"/>
  <c r="I51" i="15"/>
  <c r="H51" i="15"/>
  <c r="G51" i="15"/>
  <c r="O50" i="15"/>
  <c r="N50" i="15"/>
  <c r="M50" i="15"/>
  <c r="L50" i="15"/>
  <c r="K50" i="15"/>
  <c r="J50" i="15"/>
  <c r="I50" i="15"/>
  <c r="H50" i="15"/>
  <c r="G50" i="15"/>
  <c r="O49" i="15"/>
  <c r="N49" i="15"/>
  <c r="M49" i="15"/>
  <c r="L49" i="15"/>
  <c r="K49" i="15"/>
  <c r="J49" i="15"/>
  <c r="I49" i="15"/>
  <c r="H49" i="15"/>
  <c r="G49" i="15"/>
  <c r="O48" i="15"/>
  <c r="N48" i="15"/>
  <c r="M48" i="15"/>
  <c r="L48" i="15"/>
  <c r="K48" i="15"/>
  <c r="J48" i="15"/>
  <c r="I48" i="15"/>
  <c r="H48" i="15"/>
  <c r="G48" i="15"/>
  <c r="O38" i="15"/>
  <c r="N38" i="15"/>
  <c r="M38" i="15"/>
  <c r="L38" i="15"/>
  <c r="K38" i="15"/>
  <c r="J38" i="15"/>
  <c r="I38" i="15"/>
  <c r="H38" i="15"/>
  <c r="G38" i="15"/>
  <c r="O37" i="15"/>
  <c r="N37" i="15"/>
  <c r="M37" i="15"/>
  <c r="L37" i="15"/>
  <c r="K37" i="15"/>
  <c r="J37" i="15"/>
  <c r="I37" i="15"/>
  <c r="H37" i="15"/>
  <c r="G37" i="15"/>
  <c r="O36" i="15"/>
  <c r="N36" i="15"/>
  <c r="M36" i="15"/>
  <c r="L36" i="15"/>
  <c r="K36" i="15"/>
  <c r="J36" i="15"/>
  <c r="I36" i="15"/>
  <c r="H36" i="15"/>
  <c r="G36" i="15"/>
  <c r="O35" i="15"/>
  <c r="N35" i="15"/>
  <c r="M35" i="15"/>
  <c r="L35" i="15"/>
  <c r="K35" i="15"/>
  <c r="J35" i="15"/>
  <c r="I35" i="15"/>
  <c r="H35" i="15"/>
  <c r="G35" i="15"/>
  <c r="O27" i="15"/>
  <c r="N27" i="15"/>
  <c r="M27" i="15"/>
  <c r="L27" i="15"/>
  <c r="K27" i="15"/>
  <c r="J27" i="15"/>
  <c r="I27" i="15"/>
  <c r="H27" i="15"/>
  <c r="G27" i="15"/>
  <c r="O26" i="15"/>
  <c r="N26" i="15"/>
  <c r="M26" i="15"/>
  <c r="L26" i="15"/>
  <c r="K26" i="15"/>
  <c r="J26" i="15"/>
  <c r="I26" i="15"/>
  <c r="H26" i="15"/>
  <c r="G26" i="15"/>
  <c r="O25" i="15"/>
  <c r="N25" i="15"/>
  <c r="M25" i="15"/>
  <c r="L25" i="15"/>
  <c r="K25" i="15"/>
  <c r="J25" i="15"/>
  <c r="I25" i="15"/>
  <c r="H25" i="15"/>
  <c r="G25" i="15"/>
  <c r="O24" i="15"/>
  <c r="N24" i="15"/>
  <c r="M24" i="15"/>
  <c r="L24" i="15"/>
  <c r="K24" i="15"/>
  <c r="J24" i="15"/>
  <c r="I24" i="15"/>
  <c r="H24" i="15"/>
  <c r="G24" i="15"/>
  <c r="O12" i="15"/>
  <c r="N12" i="15"/>
  <c r="M12" i="15"/>
  <c r="L12" i="15"/>
  <c r="K12" i="15"/>
  <c r="J12" i="15"/>
  <c r="I12" i="15"/>
  <c r="H12" i="15"/>
  <c r="G12" i="15"/>
  <c r="O11" i="15"/>
  <c r="N11" i="15"/>
  <c r="M11" i="15"/>
  <c r="L11" i="15"/>
  <c r="K11" i="15"/>
  <c r="J11" i="15"/>
  <c r="I11" i="15"/>
  <c r="H11" i="15"/>
  <c r="G11" i="15"/>
  <c r="O10" i="15"/>
  <c r="N10" i="15"/>
  <c r="M10" i="15"/>
  <c r="L10" i="15"/>
  <c r="K10" i="15"/>
  <c r="J10" i="15"/>
  <c r="I10" i="15"/>
  <c r="H10" i="15"/>
  <c r="G10" i="15"/>
  <c r="O9" i="15"/>
  <c r="N9" i="15"/>
  <c r="M9" i="15"/>
  <c r="L9" i="15"/>
  <c r="K9" i="15"/>
  <c r="J9" i="15"/>
  <c r="I9" i="15"/>
  <c r="H9" i="15"/>
  <c r="G9" i="15"/>
  <c r="A1" i="15"/>
  <c r="R51" i="14"/>
  <c r="Q51" i="14"/>
  <c r="P51" i="14"/>
  <c r="O51" i="14"/>
  <c r="N51" i="14"/>
  <c r="M51" i="14"/>
  <c r="L51" i="14"/>
  <c r="K51" i="14"/>
  <c r="R50" i="14"/>
  <c r="Q50" i="14"/>
  <c r="P50" i="14"/>
  <c r="O50" i="14"/>
  <c r="N50" i="14"/>
  <c r="M50" i="14"/>
  <c r="L50" i="14"/>
  <c r="K50" i="14"/>
  <c r="R49" i="14"/>
  <c r="Q49" i="14"/>
  <c r="P49" i="14"/>
  <c r="O49" i="14"/>
  <c r="N49" i="14"/>
  <c r="M49" i="14"/>
  <c r="L49" i="14"/>
  <c r="K49" i="14"/>
  <c r="R48" i="14"/>
  <c r="Q48" i="14"/>
  <c r="P48" i="14"/>
  <c r="O48" i="14"/>
  <c r="N48" i="14"/>
  <c r="M48" i="14"/>
  <c r="L48" i="14"/>
  <c r="K48" i="14"/>
  <c r="R38" i="14"/>
  <c r="Q38" i="14"/>
  <c r="P38" i="14"/>
  <c r="O38" i="14"/>
  <c r="N38" i="14"/>
  <c r="M38" i="14"/>
  <c r="L38" i="14"/>
  <c r="K38" i="14"/>
  <c r="R37" i="14"/>
  <c r="Q37" i="14"/>
  <c r="P37" i="14"/>
  <c r="O37" i="14"/>
  <c r="N37" i="14"/>
  <c r="M37" i="14"/>
  <c r="L37" i="14"/>
  <c r="K37" i="14"/>
  <c r="R36" i="14"/>
  <c r="Q36" i="14"/>
  <c r="P36" i="14"/>
  <c r="O36" i="14"/>
  <c r="N36" i="14"/>
  <c r="M36" i="14"/>
  <c r="L36" i="14"/>
  <c r="K36" i="14"/>
  <c r="R35" i="14"/>
  <c r="Q35" i="14"/>
  <c r="P35" i="14"/>
  <c r="O35" i="14"/>
  <c r="N35" i="14"/>
  <c r="M35" i="14"/>
  <c r="L35" i="14"/>
  <c r="K35" i="14"/>
  <c r="R27" i="14"/>
  <c r="Q27" i="14"/>
  <c r="P27" i="14"/>
  <c r="O27" i="14"/>
  <c r="N27" i="14"/>
  <c r="M27" i="14"/>
  <c r="L27" i="14"/>
  <c r="K27" i="14"/>
  <c r="R26" i="14"/>
  <c r="Q26" i="14"/>
  <c r="P26" i="14"/>
  <c r="O26" i="14"/>
  <c r="N26" i="14"/>
  <c r="M26" i="14"/>
  <c r="L26" i="14"/>
  <c r="K26" i="14"/>
  <c r="R25" i="14"/>
  <c r="Q25" i="14"/>
  <c r="P25" i="14"/>
  <c r="O25" i="14"/>
  <c r="N25" i="14"/>
  <c r="M25" i="14"/>
  <c r="L25" i="14"/>
  <c r="K25" i="14"/>
  <c r="R24" i="14"/>
  <c r="Q24" i="14"/>
  <c r="P24" i="14"/>
  <c r="O24" i="14"/>
  <c r="N24" i="14"/>
  <c r="M24" i="14"/>
  <c r="L24" i="14"/>
  <c r="K24" i="14"/>
  <c r="R12" i="14"/>
  <c r="R59" i="14" s="1"/>
  <c r="Q12" i="14"/>
  <c r="Q59" i="14" s="1"/>
  <c r="P12" i="14"/>
  <c r="P59" i="14" s="1"/>
  <c r="O12" i="14"/>
  <c r="O59" i="14" s="1"/>
  <c r="O64" i="14" s="1"/>
  <c r="N12" i="14"/>
  <c r="N59" i="14" s="1"/>
  <c r="N64" i="14" s="1"/>
  <c r="M12" i="14"/>
  <c r="M59" i="14" s="1"/>
  <c r="L12" i="14"/>
  <c r="L59" i="14" s="1"/>
  <c r="K12" i="14"/>
  <c r="K59" i="14" s="1"/>
  <c r="K64" i="14" s="1"/>
  <c r="R11" i="14"/>
  <c r="R58" i="14" s="1"/>
  <c r="Q11" i="14"/>
  <c r="Q58" i="14" s="1"/>
  <c r="P11" i="14"/>
  <c r="P58" i="14" s="1"/>
  <c r="O11" i="14"/>
  <c r="O58" i="14" s="1"/>
  <c r="O63" i="14" s="1"/>
  <c r="N11" i="14"/>
  <c r="N58" i="14" s="1"/>
  <c r="N63" i="14" s="1"/>
  <c r="N66" i="14" s="1"/>
  <c r="M11" i="14"/>
  <c r="M58" i="14" s="1"/>
  <c r="L11" i="14"/>
  <c r="L58" i="14" s="1"/>
  <c r="K11" i="14"/>
  <c r="K58" i="14" s="1"/>
  <c r="K63" i="14" s="1"/>
  <c r="R10" i="14"/>
  <c r="R57" i="14" s="1"/>
  <c r="Q10" i="14"/>
  <c r="Q57" i="14" s="1"/>
  <c r="P10" i="14"/>
  <c r="P57" i="14" s="1"/>
  <c r="O10" i="14"/>
  <c r="O57" i="14" s="1"/>
  <c r="O62" i="14" s="1"/>
  <c r="N10" i="14"/>
  <c r="N57" i="14" s="1"/>
  <c r="N62" i="14" s="1"/>
  <c r="M10" i="14"/>
  <c r="M57" i="14" s="1"/>
  <c r="L10" i="14"/>
  <c r="L57" i="14" s="1"/>
  <c r="K10" i="14"/>
  <c r="K57" i="14" s="1"/>
  <c r="K62" i="14" s="1"/>
  <c r="K66" i="14" s="1"/>
  <c r="R9" i="14"/>
  <c r="R56" i="14" s="1"/>
  <c r="Q9" i="14"/>
  <c r="Q56" i="14" s="1"/>
  <c r="P9" i="14"/>
  <c r="P56" i="14" s="1"/>
  <c r="O9" i="14"/>
  <c r="O56" i="14" s="1"/>
  <c r="O61" i="14" s="1"/>
  <c r="N9" i="14"/>
  <c r="N56" i="14" s="1"/>
  <c r="N61" i="14" s="1"/>
  <c r="M9" i="14"/>
  <c r="M56" i="14" s="1"/>
  <c r="L9" i="14"/>
  <c r="L56" i="14" s="1"/>
  <c r="K9" i="14"/>
  <c r="K56" i="14" s="1"/>
  <c r="K61" i="14" s="1"/>
  <c r="A1" i="14"/>
  <c r="F3" i="9" l="1"/>
  <c r="C3" i="9" s="1"/>
  <c r="K69" i="14"/>
  <c r="K71" i="14" s="1"/>
  <c r="G3" i="9"/>
  <c r="N69" i="14"/>
  <c r="N71" i="14" s="1"/>
  <c r="H19" i="10"/>
  <c r="F19" i="10" s="1"/>
  <c r="G4" i="9" s="1"/>
  <c r="G5" i="9"/>
  <c r="F5" i="9"/>
  <c r="C5" i="9" s="1"/>
  <c r="G20" i="10"/>
  <c r="H17" i="10"/>
  <c r="H20" i="10" s="1"/>
  <c r="H16" i="10"/>
  <c r="A2" i="11"/>
  <c r="B2" i="11"/>
  <c r="Z2" i="11"/>
  <c r="AA2" i="11"/>
  <c r="A3" i="11"/>
  <c r="B3" i="11"/>
  <c r="Z3" i="11"/>
  <c r="AA3" i="11"/>
  <c r="A4" i="11"/>
  <c r="B4" i="11"/>
  <c r="Z4" i="11"/>
  <c r="AA4" i="11"/>
  <c r="A5" i="11"/>
  <c r="B5" i="11"/>
  <c r="Z5" i="11"/>
  <c r="AA5" i="11"/>
  <c r="A6" i="11"/>
  <c r="B6" i="11"/>
  <c r="Z7" i="11"/>
  <c r="AA7" i="11"/>
  <c r="Z8" i="11"/>
  <c r="Z12" i="11" s="1"/>
  <c r="AA8" i="11"/>
  <c r="AA12" i="11" s="1"/>
  <c r="Z9" i="11"/>
  <c r="Z16" i="11"/>
  <c r="B10" i="10"/>
  <c r="B11" i="10"/>
  <c r="B14" i="10"/>
  <c r="C5" i="8"/>
  <c r="I35" i="1"/>
  <c r="H33" i="1"/>
  <c r="H34" i="1" s="1"/>
  <c r="I33" i="1"/>
  <c r="K35" i="1"/>
  <c r="L35" i="1"/>
  <c r="M35" i="1"/>
  <c r="N35" i="1"/>
  <c r="O35" i="1"/>
  <c r="J35" i="1"/>
  <c r="K33" i="1"/>
  <c r="K34" i="1" s="1"/>
  <c r="L33" i="1"/>
  <c r="M33" i="1"/>
  <c r="N33" i="1"/>
  <c r="O33" i="1"/>
  <c r="J33" i="1"/>
  <c r="N7" i="1"/>
  <c r="I49" i="2"/>
  <c r="J49" i="2"/>
  <c r="K49" i="2"/>
  <c r="L49" i="2"/>
  <c r="M49" i="2"/>
  <c r="N49" i="2"/>
  <c r="O49" i="2"/>
  <c r="H49" i="2"/>
  <c r="I43" i="2"/>
  <c r="J43" i="2"/>
  <c r="K43" i="2"/>
  <c r="L43" i="2"/>
  <c r="M43" i="2"/>
  <c r="N43" i="2"/>
  <c r="O43" i="2"/>
  <c r="H43" i="2"/>
  <c r="B3" i="1"/>
  <c r="B3" i="2"/>
  <c r="B3" i="3"/>
  <c r="L31" i="3"/>
  <c r="M31" i="3"/>
  <c r="N31" i="3"/>
  <c r="O31" i="3" s="1"/>
  <c r="D38" i="3" s="1"/>
  <c r="D58" i="3" s="1"/>
  <c r="J26" i="3"/>
  <c r="K26" i="3"/>
  <c r="L26" i="3" s="1"/>
  <c r="M26" i="3" s="1"/>
  <c r="N26" i="3" s="1"/>
  <c r="O26" i="3"/>
  <c r="G27" i="3"/>
  <c r="H27" i="3"/>
  <c r="I27" i="3"/>
  <c r="F27" i="3"/>
  <c r="F25" i="3"/>
  <c r="E25" i="3"/>
  <c r="G14" i="7"/>
  <c r="H14" i="7"/>
  <c r="H15" i="7" s="1"/>
  <c r="I14" i="7"/>
  <c r="F14" i="7"/>
  <c r="B8" i="7"/>
  <c r="G8" i="7"/>
  <c r="G21" i="7"/>
  <c r="H21" i="7"/>
  <c r="H22" i="7" s="1"/>
  <c r="I21" i="7"/>
  <c r="F21" i="7"/>
  <c r="F4" i="7"/>
  <c r="G4" i="7"/>
  <c r="H4" i="7" s="1"/>
  <c r="I4" i="7" s="1"/>
  <c r="J4" i="7" s="1"/>
  <c r="K4" i="7" s="1"/>
  <c r="L4" i="7" s="1"/>
  <c r="M4" i="7" s="1"/>
  <c r="N4" i="7" s="1"/>
  <c r="O4" i="7" s="1"/>
  <c r="F12" i="3"/>
  <c r="G12" i="3" s="1"/>
  <c r="D11" i="6"/>
  <c r="D15" i="6"/>
  <c r="C21" i="6" s="1"/>
  <c r="O58" i="1"/>
  <c r="N58" i="1"/>
  <c r="M58" i="1"/>
  <c r="L58" i="1"/>
  <c r="K58" i="1"/>
  <c r="J58" i="1"/>
  <c r="I58" i="1"/>
  <c r="H24" i="7"/>
  <c r="F24" i="7"/>
  <c r="G24" i="7"/>
  <c r="I24" i="7"/>
  <c r="O41" i="1"/>
  <c r="N41" i="1"/>
  <c r="M41" i="1"/>
  <c r="L41" i="1"/>
  <c r="M43" i="1"/>
  <c r="N43" i="1"/>
  <c r="O43" i="1"/>
  <c r="L43" i="1"/>
  <c r="H32" i="2"/>
  <c r="I32" i="2"/>
  <c r="F9" i="2"/>
  <c r="G9" i="2"/>
  <c r="H9" i="2"/>
  <c r="I9" i="2"/>
  <c r="E9" i="2"/>
  <c r="F8" i="2"/>
  <c r="F45" i="2"/>
  <c r="G8" i="2"/>
  <c r="G45" i="2"/>
  <c r="E8" i="2"/>
  <c r="E45" i="2"/>
  <c r="J27" i="2"/>
  <c r="K27" i="2"/>
  <c r="L27" i="2"/>
  <c r="M27" i="2"/>
  <c r="N27" i="2" s="1"/>
  <c r="O27" i="2" s="1"/>
  <c r="G32" i="2"/>
  <c r="F32" i="2"/>
  <c r="I29" i="2"/>
  <c r="H29" i="2"/>
  <c r="G29" i="2"/>
  <c r="F29" i="2"/>
  <c r="I26" i="2"/>
  <c r="H26" i="2"/>
  <c r="G26" i="2"/>
  <c r="F26" i="2"/>
  <c r="G20" i="2"/>
  <c r="H20" i="2"/>
  <c r="I20" i="2"/>
  <c r="F20" i="2"/>
  <c r="J21" i="2"/>
  <c r="K21" i="2"/>
  <c r="L21" i="2"/>
  <c r="M21" i="2"/>
  <c r="N21" i="2" s="1"/>
  <c r="O21" i="2" s="1"/>
  <c r="G23" i="2"/>
  <c r="H23" i="2"/>
  <c r="I23" i="2"/>
  <c r="F23" i="2"/>
  <c r="G26" i="7"/>
  <c r="G25" i="3"/>
  <c r="H7" i="6"/>
  <c r="F33" i="2"/>
  <c r="F8" i="3"/>
  <c r="F24" i="3" s="1"/>
  <c r="G33" i="2"/>
  <c r="G8" i="3"/>
  <c r="G24" i="3"/>
  <c r="H33" i="2"/>
  <c r="H8" i="3"/>
  <c r="H24" i="3"/>
  <c r="I33" i="2"/>
  <c r="I8" i="3" s="1"/>
  <c r="I24" i="3" s="1"/>
  <c r="E33" i="2"/>
  <c r="E8" i="3"/>
  <c r="G14" i="2"/>
  <c r="C6" i="6"/>
  <c r="C7" i="6" s="1"/>
  <c r="D45" i="3"/>
  <c r="D65" i="3" s="1"/>
  <c r="M50" i="1"/>
  <c r="N50" i="1"/>
  <c r="O50" i="1"/>
  <c r="L50" i="1"/>
  <c r="K54" i="1"/>
  <c r="K9" i="2"/>
  <c r="J54" i="1"/>
  <c r="J9" i="2"/>
  <c r="J49" i="1"/>
  <c r="K49" i="1"/>
  <c r="K59" i="1"/>
  <c r="K8" i="7"/>
  <c r="J59" i="1"/>
  <c r="I59" i="1"/>
  <c r="H59" i="1"/>
  <c r="I49" i="1"/>
  <c r="I53" i="1"/>
  <c r="H49" i="1"/>
  <c r="M26" i="1"/>
  <c r="N26" i="1"/>
  <c r="O26" i="1"/>
  <c r="L26" i="1"/>
  <c r="M32" i="1"/>
  <c r="N32" i="1"/>
  <c r="O32" i="1"/>
  <c r="L32" i="1"/>
  <c r="M19" i="1"/>
  <c r="N19" i="1"/>
  <c r="O19" i="1"/>
  <c r="L19" i="1"/>
  <c r="L18" i="1"/>
  <c r="J19" i="1"/>
  <c r="K19" i="1"/>
  <c r="I19" i="1"/>
  <c r="K40" i="1"/>
  <c r="J40" i="1"/>
  <c r="J41" i="1"/>
  <c r="I40" i="1"/>
  <c r="H40" i="1"/>
  <c r="K29" i="1"/>
  <c r="J29" i="1"/>
  <c r="I29" i="1"/>
  <c r="H29" i="1"/>
  <c r="K31" i="1"/>
  <c r="J31" i="1"/>
  <c r="I31" i="1"/>
  <c r="I34" i="1" s="1"/>
  <c r="H31" i="1"/>
  <c r="H42" i="1" s="1"/>
  <c r="I43" i="1" s="1"/>
  <c r="K25" i="1"/>
  <c r="K22" i="1" s="1"/>
  <c r="K12" i="2"/>
  <c r="K41" i="2" s="1"/>
  <c r="J25" i="1"/>
  <c r="I25" i="1"/>
  <c r="H25" i="1"/>
  <c r="J14" i="2"/>
  <c r="J8" i="7"/>
  <c r="H14" i="2"/>
  <c r="H8" i="7"/>
  <c r="J55" i="1"/>
  <c r="K9" i="7"/>
  <c r="J50" i="1"/>
  <c r="K41" i="1"/>
  <c r="I41" i="1"/>
  <c r="K42" i="1"/>
  <c r="K55" i="1"/>
  <c r="K14" i="2"/>
  <c r="K44" i="2"/>
  <c r="J53" i="1"/>
  <c r="M18" i="1"/>
  <c r="K26" i="1"/>
  <c r="I42" i="1"/>
  <c r="I39" i="1" s="1"/>
  <c r="I37" i="1" s="1"/>
  <c r="H45" i="1"/>
  <c r="K27" i="1"/>
  <c r="K45" i="1"/>
  <c r="I22" i="1"/>
  <c r="F7" i="2"/>
  <c r="G7" i="2" s="1"/>
  <c r="H7" i="2" s="1"/>
  <c r="I7" i="2" s="1"/>
  <c r="J7" i="2"/>
  <c r="K7" i="2" s="1"/>
  <c r="L7" i="2" s="1"/>
  <c r="M7" i="2" s="1"/>
  <c r="N7" i="2" s="1"/>
  <c r="O7" i="2" s="1"/>
  <c r="F6" i="3"/>
  <c r="G6" i="3" s="1"/>
  <c r="H6" i="3"/>
  <c r="I6" i="3" s="1"/>
  <c r="J6" i="3" s="1"/>
  <c r="K6" i="3" s="1"/>
  <c r="L6" i="3"/>
  <c r="M6" i="3" s="1"/>
  <c r="N6" i="3" s="1"/>
  <c r="O6" i="3" s="1"/>
  <c r="F62" i="1"/>
  <c r="G62" i="1"/>
  <c r="G5" i="7" s="1"/>
  <c r="E62" i="1"/>
  <c r="E5" i="7" s="1"/>
  <c r="K20" i="1"/>
  <c r="E7" i="1" s="1"/>
  <c r="I55" i="1"/>
  <c r="H55" i="1"/>
  <c r="G55" i="1"/>
  <c r="F55" i="1"/>
  <c r="G46" i="1"/>
  <c r="F46" i="1"/>
  <c r="F16" i="1"/>
  <c r="G16" i="1"/>
  <c r="H16" i="1" s="1"/>
  <c r="I16" i="1" s="1"/>
  <c r="J16" i="1" s="1"/>
  <c r="K16" i="1" s="1"/>
  <c r="L16" i="1" s="1"/>
  <c r="M16" i="1" s="1"/>
  <c r="N16" i="1" s="1"/>
  <c r="O16" i="1" s="1"/>
  <c r="E9" i="1"/>
  <c r="M27" i="1" s="1"/>
  <c r="I12" i="2"/>
  <c r="I41" i="2" s="1"/>
  <c r="I44" i="2"/>
  <c r="G7" i="3"/>
  <c r="G10" i="2"/>
  <c r="K8" i="2"/>
  <c r="K45" i="2"/>
  <c r="E7" i="3"/>
  <c r="E10" i="2"/>
  <c r="K62" i="1"/>
  <c r="L27" i="1"/>
  <c r="L28" i="1" s="1"/>
  <c r="L20" i="1"/>
  <c r="N18" i="1"/>
  <c r="I26" i="1"/>
  <c r="I20" i="1"/>
  <c r="I32" i="1"/>
  <c r="G9" i="3"/>
  <c r="G74" i="3"/>
  <c r="E74" i="3"/>
  <c r="O27" i="1"/>
  <c r="N27" i="1"/>
  <c r="O28" i="1"/>
  <c r="E25" i="2"/>
  <c r="E22" i="2"/>
  <c r="G25" i="2"/>
  <c r="G22" i="2"/>
  <c r="G31" i="2"/>
  <c r="G28" i="2"/>
  <c r="G36" i="2"/>
  <c r="G19" i="2"/>
  <c r="O18" i="1"/>
  <c r="G19" i="3"/>
  <c r="G20" i="3"/>
  <c r="G16" i="3"/>
  <c r="K7" i="3" l="1"/>
  <c r="K5" i="7"/>
  <c r="K10" i="2"/>
  <c r="M28" i="1"/>
  <c r="N28" i="1"/>
  <c r="I26" i="7"/>
  <c r="I25" i="3" s="1"/>
  <c r="H26" i="7"/>
  <c r="H25" i="3" s="1"/>
  <c r="K38" i="1"/>
  <c r="K36" i="1"/>
  <c r="L21" i="1"/>
  <c r="L22" i="1"/>
  <c r="D5" i="6"/>
  <c r="D20" i="6" s="1"/>
  <c r="D6" i="6"/>
  <c r="D21" i="6" s="1"/>
  <c r="H12" i="3"/>
  <c r="I12" i="3" s="1"/>
  <c r="J12" i="3" s="1"/>
  <c r="K12" i="3" s="1"/>
  <c r="L12" i="3" s="1"/>
  <c r="M12" i="3" s="1"/>
  <c r="N12" i="3" s="1"/>
  <c r="O12" i="3" s="1"/>
  <c r="G11" i="3"/>
  <c r="G15" i="3" s="1"/>
  <c r="G28" i="3"/>
  <c r="G21" i="3"/>
  <c r="O22" i="1"/>
  <c r="I36" i="1"/>
  <c r="I38" i="1"/>
  <c r="I27" i="1"/>
  <c r="I45" i="1"/>
  <c r="H53" i="1"/>
  <c r="I50" i="1"/>
  <c r="I14" i="2"/>
  <c r="I8" i="7"/>
  <c r="I52" i="1"/>
  <c r="K53" i="1"/>
  <c r="J9" i="1" s="1"/>
  <c r="K50" i="1"/>
  <c r="L49" i="1"/>
  <c r="K39" i="1"/>
  <c r="K37" i="1" s="1"/>
  <c r="J22" i="1"/>
  <c r="J42" i="1"/>
  <c r="J34" i="1"/>
  <c r="J27" i="1"/>
  <c r="J45" i="1"/>
  <c r="H9" i="7"/>
  <c r="G22" i="7"/>
  <c r="G15" i="7"/>
  <c r="F20" i="10"/>
  <c r="F4" i="9" s="1"/>
  <c r="C4" i="9" s="1"/>
  <c r="D4" i="9" s="1"/>
  <c r="E31" i="2"/>
  <c r="E36" i="2"/>
  <c r="E28" i="2"/>
  <c r="E19" i="2"/>
  <c r="G25" i="7"/>
  <c r="G6" i="7"/>
  <c r="H27" i="1"/>
  <c r="H22" i="1"/>
  <c r="H26" i="1"/>
  <c r="K52" i="1"/>
  <c r="K32" i="1"/>
  <c r="E9" i="3"/>
  <c r="E24" i="3"/>
  <c r="N20" i="1"/>
  <c r="O20" i="1"/>
  <c r="M20" i="1"/>
  <c r="F10" i="2"/>
  <c r="F63" i="1"/>
  <c r="G63" i="1"/>
  <c r="F5" i="7"/>
  <c r="F7" i="3"/>
  <c r="H8" i="2"/>
  <c r="H45" i="2" s="1"/>
  <c r="H46" i="1"/>
  <c r="H62" i="1"/>
  <c r="D3" i="9"/>
  <c r="D5" i="9"/>
  <c r="O25" i="1" l="1"/>
  <c r="O29" i="1" s="1"/>
  <c r="O12" i="2"/>
  <c r="O41" i="2" s="1"/>
  <c r="O44" i="2" s="1"/>
  <c r="O31" i="1"/>
  <c r="O34" i="1" s="1"/>
  <c r="H5" i="7"/>
  <c r="H10" i="2"/>
  <c r="H63" i="1"/>
  <c r="H7" i="3"/>
  <c r="O21" i="1"/>
  <c r="E19" i="3"/>
  <c r="E20" i="3" s="1"/>
  <c r="E11" i="3"/>
  <c r="E15" i="3" s="1"/>
  <c r="E17" i="3" s="1"/>
  <c r="F14" i="3" s="1"/>
  <c r="E16" i="3"/>
  <c r="H12" i="2"/>
  <c r="H41" i="2" s="1"/>
  <c r="H44" i="2" s="1"/>
  <c r="H20" i="1"/>
  <c r="I21" i="1" s="1"/>
  <c r="I23" i="1"/>
  <c r="H52" i="1"/>
  <c r="H32" i="1"/>
  <c r="J8" i="2"/>
  <c r="J45" i="2" s="1"/>
  <c r="J46" i="1"/>
  <c r="J62" i="1"/>
  <c r="K46" i="1"/>
  <c r="J43" i="1"/>
  <c r="K43" i="1"/>
  <c r="J39" i="1"/>
  <c r="J37" i="1" s="1"/>
  <c r="L57" i="1"/>
  <c r="M49" i="1"/>
  <c r="I15" i="7"/>
  <c r="J15" i="7" s="1"/>
  <c r="J9" i="7"/>
  <c r="I9" i="7"/>
  <c r="I22" i="7"/>
  <c r="I8" i="2"/>
  <c r="I45" i="2" s="1"/>
  <c r="I62" i="1"/>
  <c r="I46" i="1"/>
  <c r="D22" i="6"/>
  <c r="K18" i="2"/>
  <c r="K22" i="2"/>
  <c r="K28" i="2"/>
  <c r="N22" i="1"/>
  <c r="N21" i="1"/>
  <c r="J20" i="1"/>
  <c r="J52" i="1"/>
  <c r="J26" i="1"/>
  <c r="J12" i="2"/>
  <c r="J41" i="2" s="1"/>
  <c r="J44" i="2" s="1"/>
  <c r="K23" i="1"/>
  <c r="J23" i="1"/>
  <c r="F9" i="3"/>
  <c r="F74" i="3"/>
  <c r="K13" i="2"/>
  <c r="K47" i="2" s="1"/>
  <c r="K50" i="2" s="1"/>
  <c r="K51" i="2" s="1"/>
  <c r="K30" i="2" s="1"/>
  <c r="K51" i="1"/>
  <c r="J8" i="1" s="1"/>
  <c r="J22" i="7"/>
  <c r="J32" i="1"/>
  <c r="O53" i="1"/>
  <c r="N53" i="1"/>
  <c r="M53" i="1"/>
  <c r="L53" i="1"/>
  <c r="L54" i="1" s="1"/>
  <c r="L31" i="1"/>
  <c r="L34" i="1" s="1"/>
  <c r="L23" i="1"/>
  <c r="L12" i="2"/>
  <c r="L41" i="2" s="1"/>
  <c r="L44" i="2" s="1"/>
  <c r="L25" i="1"/>
  <c r="L29" i="1" s="1"/>
  <c r="K73" i="3"/>
  <c r="J28" i="1"/>
  <c r="K28" i="1"/>
  <c r="I28" i="1"/>
  <c r="F22" i="2"/>
  <c r="F31" i="2"/>
  <c r="F28" i="2"/>
  <c r="F19" i="2"/>
  <c r="F36" i="2"/>
  <c r="F25" i="2"/>
  <c r="F25" i="7"/>
  <c r="F6" i="7"/>
  <c r="M22" i="1"/>
  <c r="M21" i="1"/>
  <c r="J38" i="1"/>
  <c r="J36" i="1"/>
  <c r="I13" i="2"/>
  <c r="I47" i="2" s="1"/>
  <c r="I50" i="2" s="1"/>
  <c r="I51" i="1"/>
  <c r="L55" i="1" l="1"/>
  <c r="L9" i="2"/>
  <c r="J14" i="7"/>
  <c r="K15" i="7"/>
  <c r="E21" i="3"/>
  <c r="E28" i="3"/>
  <c r="L38" i="1"/>
  <c r="L36" i="1"/>
  <c r="K32" i="2"/>
  <c r="K31" i="2"/>
  <c r="J13" i="2"/>
  <c r="J47" i="2" s="1"/>
  <c r="J50" i="2" s="1"/>
  <c r="J51" i="1"/>
  <c r="I5" i="7"/>
  <c r="I7" i="3"/>
  <c r="I63" i="1"/>
  <c r="I10" i="2"/>
  <c r="H9" i="3"/>
  <c r="H74" i="3"/>
  <c r="O45" i="1"/>
  <c r="N51" i="1"/>
  <c r="L51" i="1"/>
  <c r="L52" i="1" s="1"/>
  <c r="O51" i="1"/>
  <c r="M51" i="1"/>
  <c r="M52" i="1" s="1"/>
  <c r="N25" i="1"/>
  <c r="N29" i="1" s="1"/>
  <c r="N12" i="2"/>
  <c r="N41" i="2" s="1"/>
  <c r="N44" i="2" s="1"/>
  <c r="N31" i="1"/>
  <c r="N34" i="1" s="1"/>
  <c r="N23" i="1"/>
  <c r="H6" i="7"/>
  <c r="H25" i="7"/>
  <c r="K21" i="1"/>
  <c r="J21" i="1"/>
  <c r="I51" i="2"/>
  <c r="H51" i="2"/>
  <c r="O36" i="1"/>
  <c r="O40" i="1" s="1"/>
  <c r="O42" i="1" s="1"/>
  <c r="O38" i="1"/>
  <c r="M25" i="1"/>
  <c r="M29" i="1" s="1"/>
  <c r="M12" i="2"/>
  <c r="M41" i="2" s="1"/>
  <c r="M44" i="2" s="1"/>
  <c r="M23" i="1"/>
  <c r="M31" i="1"/>
  <c r="M34" i="1" s="1"/>
  <c r="K22" i="7"/>
  <c r="J21" i="7"/>
  <c r="F16" i="3"/>
  <c r="F19" i="3"/>
  <c r="F20" i="3" s="1"/>
  <c r="F11" i="3"/>
  <c r="F15" i="3" s="1"/>
  <c r="F17" i="3" s="1"/>
  <c r="G14" i="3" s="1"/>
  <c r="G17" i="3" s="1"/>
  <c r="H14" i="3" s="1"/>
  <c r="J51" i="2"/>
  <c r="J30" i="2" s="1"/>
  <c r="M32" i="3"/>
  <c r="O32" i="3"/>
  <c r="N32" i="3"/>
  <c r="L32" i="3"/>
  <c r="K32" i="3"/>
  <c r="M54" i="1"/>
  <c r="N49" i="1"/>
  <c r="M57" i="1"/>
  <c r="J7" i="3"/>
  <c r="J63" i="1"/>
  <c r="J5" i="7"/>
  <c r="J10" i="2"/>
  <c r="K63" i="1"/>
  <c r="H13" i="2"/>
  <c r="H47" i="2" s="1"/>
  <c r="H50" i="2" s="1"/>
  <c r="H51" i="1"/>
  <c r="H36" i="2"/>
  <c r="H22" i="2"/>
  <c r="H19" i="2"/>
  <c r="H25" i="2"/>
  <c r="H31" i="2"/>
  <c r="H28" i="2"/>
  <c r="O23" i="1"/>
  <c r="M13" i="2" l="1"/>
  <c r="M47" i="2" s="1"/>
  <c r="M50" i="2" s="1"/>
  <c r="M59" i="1"/>
  <c r="F21" i="3"/>
  <c r="F28" i="3"/>
  <c r="I74" i="3"/>
  <c r="I9" i="3"/>
  <c r="J24" i="7"/>
  <c r="N36" i="1"/>
  <c r="N40" i="1" s="1"/>
  <c r="N42" i="1" s="1"/>
  <c r="N38" i="1"/>
  <c r="M36" i="1"/>
  <c r="M38" i="1"/>
  <c r="O49" i="1"/>
  <c r="N57" i="1"/>
  <c r="N54" i="1"/>
  <c r="N52" i="1"/>
  <c r="L13" i="2"/>
  <c r="L47" i="2" s="1"/>
  <c r="L50" i="2" s="1"/>
  <c r="L59" i="1"/>
  <c r="H20" i="3"/>
  <c r="H11" i="3"/>
  <c r="H15" i="3" s="1"/>
  <c r="H17" i="3" s="1"/>
  <c r="I14" i="3" s="1"/>
  <c r="H19" i="3"/>
  <c r="H16" i="3"/>
  <c r="I25" i="7"/>
  <c r="I6" i="7"/>
  <c r="J28" i="2"/>
  <c r="J18" i="2"/>
  <c r="J22" i="2"/>
  <c r="L22" i="7"/>
  <c r="K21" i="7"/>
  <c r="O8" i="2"/>
  <c r="O45" i="2" s="1"/>
  <c r="L15" i="7"/>
  <c r="K14" i="7"/>
  <c r="K24" i="7" s="1"/>
  <c r="J6" i="7"/>
  <c r="K6" i="7"/>
  <c r="J32" i="2"/>
  <c r="J31" i="2"/>
  <c r="J73" i="3"/>
  <c r="M55" i="1"/>
  <c r="M9" i="2"/>
  <c r="D39" i="3"/>
  <c r="D59" i="3" s="1"/>
  <c r="I25" i="2"/>
  <c r="J25" i="2" s="1"/>
  <c r="K25" i="2" s="1"/>
  <c r="I28" i="2"/>
  <c r="I31" i="2"/>
  <c r="I22" i="2"/>
  <c r="I36" i="2"/>
  <c r="I19" i="2"/>
  <c r="L40" i="1"/>
  <c r="J20" i="2" l="1"/>
  <c r="K20" i="2"/>
  <c r="H21" i="3"/>
  <c r="H28" i="3"/>
  <c r="I11" i="3"/>
  <c r="I15" i="3" s="1"/>
  <c r="I17" i="3" s="1"/>
  <c r="J14" i="3" s="1"/>
  <c r="I19" i="3"/>
  <c r="I20" i="3"/>
  <c r="I16" i="3"/>
  <c r="N45" i="1"/>
  <c r="K25" i="7"/>
  <c r="K26" i="7"/>
  <c r="K25" i="3" s="1"/>
  <c r="L14" i="2"/>
  <c r="L8" i="7"/>
  <c r="L9" i="7" s="1"/>
  <c r="N9" i="2"/>
  <c r="N55" i="1"/>
  <c r="M40" i="1"/>
  <c r="M14" i="2"/>
  <c r="M8" i="7"/>
  <c r="M9" i="7" s="1"/>
  <c r="L42" i="1"/>
  <c r="L45" i="1"/>
  <c r="M15" i="7"/>
  <c r="L14" i="7"/>
  <c r="L24" i="7" s="1"/>
  <c r="L25" i="2"/>
  <c r="K24" i="2"/>
  <c r="N13" i="2"/>
  <c r="N47" i="2" s="1"/>
  <c r="N50" i="2" s="1"/>
  <c r="N59" i="1"/>
  <c r="L21" i="7"/>
  <c r="M22" i="7"/>
  <c r="J24" i="2"/>
  <c r="J26" i="2" s="1"/>
  <c r="O52" i="1"/>
  <c r="O54" i="1"/>
  <c r="O57" i="1"/>
  <c r="J25" i="7"/>
  <c r="J26" i="7"/>
  <c r="J25" i="3" s="1"/>
  <c r="O13" i="2" l="1"/>
  <c r="O47" i="2" s="1"/>
  <c r="O50" i="2" s="1"/>
  <c r="O51" i="2" s="1"/>
  <c r="O30" i="2" s="1"/>
  <c r="O59" i="1"/>
  <c r="L26" i="7"/>
  <c r="L25" i="3" s="1"/>
  <c r="O9" i="2"/>
  <c r="O55" i="1"/>
  <c r="O62" i="1"/>
  <c r="K26" i="2"/>
  <c r="K33" i="2"/>
  <c r="L46" i="1"/>
  <c r="L62" i="1"/>
  <c r="L8" i="2"/>
  <c r="L45" i="2" s="1"/>
  <c r="L51" i="2" s="1"/>
  <c r="L30" i="2" s="1"/>
  <c r="M42" i="1"/>
  <c r="M45" i="1"/>
  <c r="N62" i="1"/>
  <c r="N8" i="2"/>
  <c r="N45" i="2" s="1"/>
  <c r="N51" i="2" s="1"/>
  <c r="N30" i="2" s="1"/>
  <c r="O46" i="1"/>
  <c r="N14" i="2"/>
  <c r="N8" i="7"/>
  <c r="N9" i="7" s="1"/>
  <c r="I21" i="3"/>
  <c r="I28" i="3"/>
  <c r="J33" i="2"/>
  <c r="M21" i="7"/>
  <c r="N22" i="7"/>
  <c r="M14" i="7"/>
  <c r="M24" i="7" s="1"/>
  <c r="N15" i="7"/>
  <c r="M62" i="1" l="1"/>
  <c r="N63" i="1" s="1"/>
  <c r="M8" i="2"/>
  <c r="M45" i="2" s="1"/>
  <c r="M51" i="2" s="1"/>
  <c r="M30" i="2" s="1"/>
  <c r="M46" i="1"/>
  <c r="O31" i="2"/>
  <c r="O32" i="2"/>
  <c r="N32" i="2"/>
  <c r="O15" i="7"/>
  <c r="O14" i="7" s="1"/>
  <c r="N14" i="7"/>
  <c r="J8" i="3"/>
  <c r="J36" i="2"/>
  <c r="N10" i="2"/>
  <c r="N5" i="7"/>
  <c r="N7" i="3"/>
  <c r="L7" i="3"/>
  <c r="L5" i="7"/>
  <c r="L10" i="2"/>
  <c r="L63" i="1"/>
  <c r="O7" i="3"/>
  <c r="O5" i="7"/>
  <c r="O6" i="7" s="1"/>
  <c r="O10" i="2"/>
  <c r="O63" i="1"/>
  <c r="M26" i="7"/>
  <c r="M25" i="3" s="1"/>
  <c r="O14" i="2"/>
  <c r="O8" i="7"/>
  <c r="O9" i="7" s="1"/>
  <c r="O22" i="7"/>
  <c r="O21" i="7" s="1"/>
  <c r="N21" i="7"/>
  <c r="N46" i="1"/>
  <c r="K8" i="3"/>
  <c r="K36" i="2"/>
  <c r="L31" i="2"/>
  <c r="L32" i="2"/>
  <c r="O73" i="3" l="1"/>
  <c r="L73" i="3"/>
  <c r="N22" i="2"/>
  <c r="N28" i="2"/>
  <c r="N24" i="2"/>
  <c r="N18" i="2"/>
  <c r="O24" i="7"/>
  <c r="K23" i="3"/>
  <c r="K9" i="3"/>
  <c r="N73" i="3"/>
  <c r="N31" i="2"/>
  <c r="O22" i="2"/>
  <c r="O24" i="2"/>
  <c r="O28" i="2"/>
  <c r="O18" i="2"/>
  <c r="L24" i="2"/>
  <c r="L26" i="2" s="1"/>
  <c r="L28" i="2"/>
  <c r="L22" i="2"/>
  <c r="L18" i="2"/>
  <c r="J23" i="3"/>
  <c r="J9" i="3"/>
  <c r="M32" i="2"/>
  <c r="L6" i="7"/>
  <c r="L25" i="7"/>
  <c r="N6" i="7"/>
  <c r="N24" i="7"/>
  <c r="M5" i="7"/>
  <c r="M7" i="3"/>
  <c r="M63" i="1"/>
  <c r="M10" i="2"/>
  <c r="K16" i="3" l="1"/>
  <c r="K19" i="3"/>
  <c r="K20" i="3" s="1"/>
  <c r="K15" i="3"/>
  <c r="K11" i="3"/>
  <c r="M6" i="7"/>
  <c r="M25" i="7"/>
  <c r="O26" i="2"/>
  <c r="O26" i="7"/>
  <c r="O25" i="3" s="1"/>
  <c r="O25" i="7"/>
  <c r="O20" i="2"/>
  <c r="O33" i="2"/>
  <c r="M73" i="3"/>
  <c r="J16" i="3"/>
  <c r="J19" i="3"/>
  <c r="J20" i="3" s="1"/>
  <c r="J15" i="3"/>
  <c r="J17" i="3" s="1"/>
  <c r="K14" i="3" s="1"/>
  <c r="K17" i="3" s="1"/>
  <c r="L14" i="3" s="1"/>
  <c r="J11" i="3"/>
  <c r="M18" i="2"/>
  <c r="M24" i="2"/>
  <c r="M26" i="2" s="1"/>
  <c r="M22" i="2"/>
  <c r="M28" i="2"/>
  <c r="N26" i="7"/>
  <c r="N25" i="3" s="1"/>
  <c r="N25" i="7"/>
  <c r="M31" i="2"/>
  <c r="L33" i="2"/>
  <c r="L20" i="2"/>
  <c r="N33" i="2"/>
  <c r="J21" i="3" l="1"/>
  <c r="J28" i="3"/>
  <c r="K21" i="3"/>
  <c r="K28" i="3"/>
  <c r="K33" i="3" s="1"/>
  <c r="L8" i="3"/>
  <c r="L36" i="2"/>
  <c r="M20" i="2"/>
  <c r="M33" i="2"/>
  <c r="N26" i="2"/>
  <c r="N20" i="2"/>
  <c r="O8" i="3"/>
  <c r="O36" i="2"/>
  <c r="N8" i="3"/>
  <c r="N36" i="2"/>
  <c r="N23" i="3" l="1"/>
  <c r="N9" i="3"/>
  <c r="M8" i="3"/>
  <c r="M36" i="2"/>
  <c r="O23" i="3"/>
  <c r="O9" i="3"/>
  <c r="L23" i="3"/>
  <c r="L9" i="3"/>
  <c r="O11" i="3" l="1"/>
  <c r="O15" i="3"/>
  <c r="N11" i="3"/>
  <c r="N15" i="3"/>
  <c r="M23" i="3"/>
  <c r="M9" i="3"/>
  <c r="L19" i="3"/>
  <c r="L20" i="3" s="1"/>
  <c r="L11" i="3"/>
  <c r="L16" i="3"/>
  <c r="L15" i="3"/>
  <c r="L17" i="3" s="1"/>
  <c r="M14" i="3" s="1"/>
  <c r="L21" i="3" l="1"/>
  <c r="L28" i="3"/>
  <c r="L33" i="3" s="1"/>
  <c r="M15" i="3"/>
  <c r="M17" i="3" s="1"/>
  <c r="N14" i="3" s="1"/>
  <c r="M19" i="3"/>
  <c r="M20" i="3"/>
  <c r="M21" i="3" s="1"/>
  <c r="M11" i="3"/>
  <c r="M16" i="3"/>
  <c r="N16" i="3" l="1"/>
  <c r="N19" i="3" s="1"/>
  <c r="N20" i="3" s="1"/>
  <c r="M28" i="3"/>
  <c r="M33" i="3" s="1"/>
  <c r="N21" i="3" l="1"/>
  <c r="N28" i="3"/>
  <c r="N33" i="3" s="1"/>
  <c r="N17" i="3"/>
  <c r="O14" i="3" s="1"/>
  <c r="O16" i="3" l="1"/>
  <c r="O19" i="3" s="1"/>
  <c r="O20" i="3" s="1"/>
  <c r="D50" i="3" l="1"/>
  <c r="O21" i="3"/>
  <c r="D34" i="3" s="1"/>
  <c r="D36" i="3" s="1"/>
  <c r="O28" i="3"/>
  <c r="O17" i="3"/>
  <c r="D54" i="3" l="1"/>
  <c r="D56" i="3" s="1"/>
  <c r="D60" i="3" s="1"/>
  <c r="O33" i="3"/>
  <c r="D33" i="3" s="1"/>
  <c r="D49" i="3"/>
  <c r="D51" i="3"/>
  <c r="D40" i="3"/>
  <c r="D61" i="3" l="1"/>
  <c r="AA79" i="3" s="1"/>
  <c r="D41" i="3"/>
  <c r="D44" i="3" s="1"/>
  <c r="D64" i="3" l="1"/>
  <c r="D66" i="3" s="1"/>
  <c r="D46" i="3"/>
  <c r="S79" i="3"/>
</calcChain>
</file>

<file path=xl/comments1.xml><?xml version="1.0" encoding="utf-8"?>
<comments xmlns="http://schemas.openxmlformats.org/spreadsheetml/2006/main">
  <authors>
    <author>abigailc</author>
  </authors>
  <commentList>
    <comment ref="E23" authorId="0">
      <text>
        <r>
          <rPr>
            <b/>
            <sz val="9"/>
            <color indexed="81"/>
            <rFont val="Tahoma"/>
            <family val="2"/>
          </rPr>
          <t>abigailc:</t>
        </r>
        <r>
          <rPr>
            <sz val="9"/>
            <color indexed="81"/>
            <rFont val="Tahoma"/>
            <family val="2"/>
          </rPr>
          <t xml:space="preserve">
from CIQ</t>
        </r>
      </text>
    </comment>
  </commentList>
</comments>
</file>

<file path=xl/comments2.xml><?xml version="1.0" encoding="utf-8"?>
<comments xmlns="http://schemas.openxmlformats.org/spreadsheetml/2006/main">
  <authors>
    <author>abigailc</author>
  </authors>
  <commentList>
    <comment ref="H7" authorId="0">
      <text>
        <r>
          <rPr>
            <b/>
            <sz val="9"/>
            <color indexed="81"/>
            <rFont val="Tahoma"/>
            <family val="2"/>
          </rPr>
          <t>abigailc:</t>
        </r>
        <r>
          <rPr>
            <sz val="9"/>
            <color indexed="81"/>
            <rFont val="Tahoma"/>
            <family val="2"/>
          </rPr>
          <t xml:space="preserve">
2013 Q2 10Q</t>
        </r>
      </text>
    </comment>
    <comment ref="D11" authorId="0">
      <text>
        <r>
          <rPr>
            <b/>
            <sz val="9"/>
            <color indexed="81"/>
            <rFont val="Tahoma"/>
            <family val="2"/>
          </rPr>
          <t>abigailc:</t>
        </r>
        <r>
          <rPr>
            <sz val="9"/>
            <color indexed="81"/>
            <rFont val="Tahoma"/>
            <family val="2"/>
          </rPr>
          <t xml:space="preserve">
bloomberg, simple avg of 10 year treasuries in past 12 mo</t>
        </r>
      </text>
    </comment>
    <comment ref="D12" authorId="0">
      <text>
        <r>
          <rPr>
            <b/>
            <sz val="9"/>
            <color indexed="81"/>
            <rFont val="Tahoma"/>
            <family val="2"/>
          </rPr>
          <t>abigailc:</t>
        </r>
        <r>
          <rPr>
            <sz val="9"/>
            <color indexed="81"/>
            <rFont val="Tahoma"/>
            <family val="2"/>
          </rPr>
          <t xml:space="preserve">
</t>
        </r>
      </text>
    </comment>
    <comment ref="D14" authorId="0">
      <text>
        <r>
          <rPr>
            <b/>
            <sz val="9"/>
            <color indexed="81"/>
            <rFont val="Tahoma"/>
            <family val="2"/>
          </rPr>
          <t>abigailc:</t>
        </r>
        <r>
          <rPr>
            <sz val="9"/>
            <color indexed="81"/>
            <rFont val="Tahoma"/>
            <family val="2"/>
          </rPr>
          <t xml:space="preserve">
based on 1.3bn market cap, from Ibbotson Assoc, 2006</t>
        </r>
      </text>
    </comment>
  </commentList>
</comments>
</file>

<file path=xl/comments3.xml><?xml version="1.0" encoding="utf-8"?>
<comments xmlns="http://schemas.openxmlformats.org/spreadsheetml/2006/main">
  <authors>
    <author>usc</author>
  </authors>
  <commentList>
    <comment ref="G5" authorId="0">
      <text>
        <r>
          <rPr>
            <b/>
            <sz val="8"/>
            <color indexed="81"/>
            <rFont val="Tahoma"/>
            <family val="2"/>
          </rPr>
          <t>usc:</t>
        </r>
        <r>
          <rPr>
            <sz val="8"/>
            <color indexed="81"/>
            <rFont val="Tahoma"/>
            <family val="2"/>
          </rPr>
          <t xml:space="preserve">
you will need to change these values to match your valuation and then hit F9 to recalculate cells.</t>
        </r>
      </text>
    </comment>
  </commentList>
</comments>
</file>

<file path=xl/comments4.xml><?xml version="1.0" encoding="utf-8"?>
<comments xmlns="http://schemas.openxmlformats.org/spreadsheetml/2006/main">
  <authors>
    <author>Damir Becirovic</author>
    <author>Marshall School of Business</author>
  </authors>
  <commentList>
    <comment ref="B6" authorId="0">
      <text>
        <r>
          <rPr>
            <b/>
            <sz val="9"/>
            <color indexed="81"/>
            <rFont val="Tahoma"/>
            <family val="2"/>
          </rPr>
          <t>Damir Becirovic:</t>
        </r>
        <r>
          <rPr>
            <sz val="9"/>
            <color indexed="81"/>
            <rFont val="Tahoma"/>
            <family val="2"/>
          </rPr>
          <t xml:space="preserve">
Netflix, Inc. provides Internet subscription services for TV shows and movies in the United States and internationally. The company offers its subscribers to watch unlimited TV shows and movies streamed over the Internet to their TVs, computers, and mobile devices. It also provides standard definition DVDs and Blu-ray discs to its subscribers. The company was founded in 1997 and is headquartered in Los Gatos, California.</t>
        </r>
      </text>
    </comment>
    <comment ref="B7" authorId="0">
      <text>
        <r>
          <rPr>
            <b/>
            <sz val="9"/>
            <color indexed="81"/>
            <rFont val="Tahoma"/>
            <family val="2"/>
          </rPr>
          <t>Damir Becirovic:</t>
        </r>
        <r>
          <rPr>
            <sz val="9"/>
            <color indexed="81"/>
            <rFont val="Tahoma"/>
            <family val="2"/>
          </rPr>
          <t xml:space="preserve">
Amazon.com, Inc. operates as an online retailer in North America and internationally. It operates retail Websites, such as amazon.com and amazon.ca. The company serves consumers through its retail Websites and focuses on selection, price, and convenience. It also offers programs that enable sellers to sell their products on company’s Websites, and their own branded Websites. In addition, the company serves developers and enterprises through Amazon Web Services, which provides access to technology infrastructure that developers can use to enable virtually various type of business. Further, it manufactures and sells the Kindle e-reader. Additionally, the company provides fulfillment services; miscellaneous marketing and promotional agreements, such as online advertising; and co-branded credit cards. Amazon.com, Inc. was founded in 1994 and is headquartered in Seattle, Washington.</t>
        </r>
      </text>
    </comment>
    <comment ref="B15" authorId="1">
      <text>
        <r>
          <rPr>
            <b/>
            <sz val="9"/>
            <color indexed="81"/>
            <rFont val="Tahoma"/>
            <family val="2"/>
          </rPr>
          <t>Damir:</t>
        </r>
        <r>
          <rPr>
            <sz val="9"/>
            <color indexed="81"/>
            <rFont val="Tahoma"/>
            <family val="2"/>
          </rPr>
          <t xml:space="preserve">
Sirius XM Radio Inc. provides satellite radio services in the United States and Canada. The company broadcasts approximately 135 channels, including music, sports, entertainment, comedy, talk, news, traffic, and weather channels on subscription fee basis through two satellite radio systems. It also offers music genres, such as rock, pop, and hip-hop, as well as dance, jazz, Latin, and classical music; advertising on non-music channels; and applications to allow consumers to access Internet services on mobile devices. In addition, the company sells satellite radios, components, and accessories; designs, establishes specifications, sources or specifies parts and components, and manages various aspects of the logistics and production of satellite and Internet radios; and licenses its technology to various electronics manufacturers to develop, manufacture, and distribute radios under various brands. Further, it provides music services for commercial establishments; satellite television services; Backseat TV, a service offering television content designed primarily for children in the backseat of vehicles; Travel Link, a suite of data services that include graphical weather, fuel prices, sports schedules and scores, and movie listings; and real-time traffic and weather services. The company’s satellite radios are primarily distributed through automakers, retailers, and through its Website. As of October 3, 2012, it had 22.9 million subscribers. The company was formerly known as Sirius Satellite Radio Inc. and changed its name to Sirius XM Radio Inc. in August 2008. Sirius XM Radio Inc. was founded in 1990 and is headquartered in New York, New York.</t>
        </r>
      </text>
    </comment>
    <comment ref="B16" authorId="0">
      <text>
        <r>
          <rPr>
            <b/>
            <sz val="9"/>
            <color indexed="81"/>
            <rFont val="Tahoma"/>
            <family val="2"/>
          </rPr>
          <t>Damir Becirovic:</t>
        </r>
        <r>
          <rPr>
            <sz val="9"/>
            <color indexed="81"/>
            <rFont val="Tahoma"/>
            <family val="2"/>
          </rPr>
          <t xml:space="preserve">
Entercom Communications Corp. operates as a radio broadcasting company in the United States. It owns and operates radio stations in various formats, including news, talk, classic rock, adult contemporary, alternative, and country. The company’s radio stations sells advertising time to local, regional, and national spot advertisers, as well as national network advertisers. As of June 28, 2012, it operated a portfolio of 111 stations in 23 markets comprising San Francisco, Boston, Seattle, Denver, Portland, Sacramento, and Kansas City. Entercom Communications Corp. was formerly known as Entertainment Communications, Inc. and changed its name to Entercom Communications Corp. in July 1998. The company was founded in 1968 and is based in Bala Cynwyd, Pennsylvania.</t>
        </r>
      </text>
    </comment>
    <comment ref="B30" authorId="0">
      <text>
        <r>
          <rPr>
            <b/>
            <sz val="9"/>
            <color indexed="81"/>
            <rFont val="Tahoma"/>
            <family val="2"/>
          </rPr>
          <t>Damir Becirovic:</t>
        </r>
        <r>
          <rPr>
            <sz val="9"/>
            <color indexed="81"/>
            <rFont val="Tahoma"/>
            <family val="2"/>
          </rPr>
          <t xml:space="preserve">
Yahoo! Inc., together with its subsidiaries, operates as a digital media company that delivers personalized digital content and experiences worldwide. It offers online properties and services to users in three categories, including communications and communities, search and marketplaces, and media. The company’s communications and communities offerings include Yahoo! Mail, Yahoo! Messenger, Yahoo! Groups, Yahoo! Answers, Flickr, and Connected TV, which deliver a range of communication and social services that enable users to organize into groups and share knowledge, common interests, and photos. Its search products comprise Yahoo! Search and Yahoo! Local that serve as the starting points from which users navigate the Internet and discover content; and marketplace offerings consist of Yahoo! Shopping, Yahoo! Travel, Yahoo! Real Estate, Yahoo! Autos, and Yahoo! Small Business that enable users to research on specific topics, products, services, or areas of interest by reviewing and exchanging information, obtaining contact details, or considering offers from providers of goods and services, or parties with similar interests. The company’s media properties include Yahoo! Homepage, Yahoo! News, Yahoo! Sports, Yahoo! Finance, My Yahoo!, Yahoo! Toolbar, Yahoo! Entertainment &amp; Lifestyles, Livestand from Yahoo!, IntoNow from Yahoo!, and Yahoo! Contributor Network that are designed to engage users with online content and services on the Web. It also offers a range of marketing services, such as display advertising, search advertising, listing-based services, and commerce-based transactions to advertisers to reach and connect with users on Yahoo! properties and affiliate sites. In addition, the company provides various software and platform offerings for third-party developers, advertisers, agencies, publishers, and designers to build and incorporate new products and innovations. Yahoo! Inc. was founded in 1994 and is headquartered in Sunnyvale, California.</t>
        </r>
      </text>
    </comment>
    <comment ref="B31" authorId="0">
      <text>
        <r>
          <rPr>
            <b/>
            <sz val="9"/>
            <color indexed="81"/>
            <rFont val="Tahoma"/>
            <family val="2"/>
          </rPr>
          <t>Damir Becirovic:</t>
        </r>
        <r>
          <rPr>
            <sz val="9"/>
            <color indexed="81"/>
            <rFont val="Tahoma"/>
            <family val="2"/>
          </rPr>
          <t xml:space="preserve">
blinkx plc, through its subsidiaries, provides video search and advertising services on the Internet worldwide. Its products and solutions include blinkx.com, which offers access to video content on the Web; blinkx 3D, a 3D-version of blinkx.com; blinkx AdHoc, a contextual advertising platform for online video; blinkx AdHoc BT, a behavioral targeting application to track content consumption patterns; and blinkx Advanced Media Platform, which offers a suite of products that solve the problems in processing, managing, and monetizing media. The company’s products and solutions also comprise blinkx Beat, an application for delivering videos from the Web in full-screen; blinkx Embeddable Player, which allows bloggers and Website publishers to bring blinkx video content to any Webpage; blinkx Internet Explorer 8 Add-ons that are video search add-ons for IE8 Web browser; and blinkx it, a video widget that enables users to integrate video into their sites. In addition, it offers blinkx Mobile Video Search for mobile access; blinkx Red Label, a hosted video search service; blinkx Remote, a tool for finding TV episodes on the Web; and blinkx Video Wall, a tool that allows bloggers and Website creators to embed a video wall of clips from a selected search term into their sites. blinkx plc was founded in 2004 and is headquartered in San Francisco, California.</t>
        </r>
      </text>
    </comment>
    <comment ref="B32" authorId="0">
      <text>
        <r>
          <rPr>
            <b/>
            <sz val="9"/>
            <color indexed="81"/>
            <rFont val="Tahoma"/>
            <family val="2"/>
          </rPr>
          <t>Damir Becirovic:</t>
        </r>
        <r>
          <rPr>
            <sz val="9"/>
            <color indexed="81"/>
            <rFont val="Tahoma"/>
            <family val="2"/>
          </rPr>
          <t xml:space="preserve">
Demand Media, Inc., together with its subsidiaries, identifies, creates, distributes, and monetizes in-demand and long-lived content formats. The company's content and media services include creating media content primarily consisting of text articles and videos, and delivering together with its social media and monetization tools to the company's owned and operated, and network of customer Websites. Its content and media services are delivered through the company's content and media platform, which includes its content creation studio, community of freelance creative professionals, social media applications, and a system of monetization tools designed to match content with advertisements to publishers, brands, and retailers. The company deploys its content and media platform to it’s owned and operated Websites, such as eHow.com, LIVESTRONG.com, and Cracked.com, as well as to Websites operated by its customers, including USATODAY.com. Demand Media, Inc.’s registrar service offering provides domain name registration and related value added services, such as third-party Website security services, identification protection services, Web hosting plans, customizable email accounts, and business listing services to resellers, including small businesses, e-commerce Websites, Internet service providers, and Web-hosting companies, as well as to consumers. Demand Media, Inc. was founded in 2006 and is headquartered in Santa Monica, California.</t>
        </r>
      </text>
    </comment>
    <comment ref="B33" authorId="0">
      <text>
        <r>
          <rPr>
            <b/>
            <sz val="9"/>
            <color indexed="81"/>
            <rFont val="Tahoma"/>
            <family val="2"/>
          </rPr>
          <t>Damir Becirovic:</t>
        </r>
        <r>
          <rPr>
            <sz val="9"/>
            <color indexed="81"/>
            <rFont val="Tahoma"/>
            <family val="2"/>
          </rPr>
          <t xml:space="preserve">
CBS Corporation, together with its subsidiaries, operates as a mass media company in the United States and internationally. The company’s Entertainment segment distributes a schedule of news and public affairs broadcasts, sports, and entertainment programming; produces, acquires, and distributes programming, including series, specials, news, and public affairs; produces and distributes theatrical motion pictures across various genres; and operates online content networks for information and entertainment. Its Cable Networks segment owns and operates multiplexed channels that offers subscription program services, including recently released theatrical feature films, original series, documentaries, boxing, mixed martial arts and other sports-related programming, and special events; and CBS College Sports Network, a 24-hour cable program service related to college sports. This segment also owns and manages Smithsonian Networks, which operates Smithsonian Channel, a basic cable service in the United States. The company’s Publishing segment publishes and distributes adult and children’s consumer books in printed, audio, and digital formats. Its Local Broadcasting segment owns 29 broadcast television stations; owns and operates 130 radio stations in 28 U.S. markets and related online properties; and owns local Websites that combine television and radio local media brands online to provide the latest news, traffic, weather, and sports information, as well as local discounts, directories, and reviews. The company’s Outdoor segment sells advertising space on various media, including billboards, transit shelters and other street furniture, buses, rail systems, mall kiosks, stadium signage, and in retail stores. CBS Corporation was founded in 1986 and is headquartered in New York, New York.</t>
        </r>
      </text>
    </comment>
    <comment ref="B41" authorId="0">
      <text>
        <r>
          <rPr>
            <b/>
            <sz val="9"/>
            <color indexed="81"/>
            <rFont val="Tahoma"/>
            <family val="2"/>
          </rPr>
          <t>Damir Becirovic:</t>
        </r>
        <r>
          <rPr>
            <sz val="9"/>
            <color indexed="81"/>
            <rFont val="Tahoma"/>
            <family val="2"/>
          </rPr>
          <t xml:space="preserve">
Yelp, Inc. operates Yelp.com, an online urban city guide that helps people find places to eat, shop, drink, relax, and play based on the informed opinions of a community of locals in the know. It offers information relating to restaurants, shopping, food, nightlife, arts and entertainment, local flavor, public services and government, active life, event planning and services, hotels and travel, beauty and spas, education, health and medical, local services, home services, religious organizations, professional services, mass media, automotive, pets, financial services, and real estate. The company serves customers in the United States, Canada, the United Kingdom, Ireland, France, Germany, Austria, the Netherlands, Spain, Italy, Switzerland, Finland, and Belgium. Yelp, Inc. was founded in 2004 and is headquartered in San Francisco, California.
Notes:
-Offers users ability to explore and learn about new things in cities
-Generates revenue from targeted advertising</t>
        </r>
      </text>
    </comment>
    <comment ref="B42" authorId="0">
      <text>
        <r>
          <rPr>
            <b/>
            <sz val="9"/>
            <color indexed="81"/>
            <rFont val="Tahoma"/>
            <family val="2"/>
          </rPr>
          <t>Damir Becirovic:</t>
        </r>
        <r>
          <rPr>
            <sz val="9"/>
            <color indexed="81"/>
            <rFont val="Tahoma"/>
            <family val="2"/>
          </rPr>
          <t xml:space="preserve">
Travelzoo Inc., an Internet media company, together with its subsidiaries, publishes travel and entertainment deals from travel and entertainment companies, and local businesses in North America and Europe. Its publications and products include the Travelzoo Websites, such as travelzoo.com, travelzoo.ca, travelzoo.co.uk, travelzoo.de, www.travelzoo.es, and travelzoo.fr; the Travelzoo Top 20 e-mail newsletter; and the Newsflash e-mail alert service. The company also operates SuperSearch, a pay-per-click travel search tool; Travelzoo Network, a network of third-party Websites that list deals published by Travelzoo; and Fly.com, a travel search engine that allows users to find the best prices on flights from various airlines and online travel agencies. In addition, it provides Local Deals and Getaways services that allow its subscribers to purchase vouchers for deals from local businesses, such as spas, hotels, and restaurants through the Travelzoo Website. As of December 31, 2011, the company’s advertiser base included approximately 2,000 travel companies, entertainment companies, and local businesses, including airlines, hotels, cruise lines, vacations packagers, tour operators, destinations, car rental companies, travel agents, theater and performing arts groups, restaurants, spas, and activity companies. Travelzoo Inc. was founded in 1998 and is headquartered in New York, New York.
Note:
-Generate majority of revenue from advertising</t>
        </r>
      </text>
    </comment>
  </commentList>
</comments>
</file>

<file path=xl/sharedStrings.xml><?xml version="1.0" encoding="utf-8"?>
<sst xmlns="http://schemas.openxmlformats.org/spreadsheetml/2006/main" count="710" uniqueCount="387">
  <si>
    <t>Revenue Build</t>
  </si>
  <si>
    <t>Monthly Hours per User</t>
  </si>
  <si>
    <t>Total Listener Hours</t>
  </si>
  <si>
    <t>Ad-Supported</t>
  </si>
  <si>
    <t>Subscription</t>
  </si>
  <si>
    <t>Ad-Supported Active Users</t>
  </si>
  <si>
    <t>Subscription Active Users</t>
  </si>
  <si>
    <t>Revenue per User</t>
  </si>
  <si>
    <t>Total Ad Revenue</t>
  </si>
  <si>
    <t>Total Subscription Revenue</t>
  </si>
  <si>
    <t>% Growth</t>
  </si>
  <si>
    <t>Total Revenue</t>
  </si>
  <si>
    <t>Discounted Cash Flow</t>
  </si>
  <si>
    <t>Costs Build</t>
  </si>
  <si>
    <t>Tax Effect</t>
  </si>
  <si>
    <t>Tax Rate</t>
  </si>
  <si>
    <t>D&amp;A</t>
  </si>
  <si>
    <t>∆ in NWC</t>
  </si>
  <si>
    <t>CapEx</t>
  </si>
  <si>
    <t>Total Operating Costs</t>
  </si>
  <si>
    <t>NOPAT</t>
  </si>
  <si>
    <t>Free Cash Flow</t>
  </si>
  <si>
    <t>SBC</t>
  </si>
  <si>
    <t>FYE January</t>
  </si>
  <si>
    <t>Cost of Revenue</t>
  </si>
  <si>
    <t>Product Development</t>
  </si>
  <si>
    <t>Marketing &amp; Sales</t>
  </si>
  <si>
    <t>General &amp; Administrative</t>
  </si>
  <si>
    <t>Content Acquisition</t>
  </si>
  <si>
    <t>Web Listener Hours</t>
  </si>
  <si>
    <t>% of Total Listener Hours</t>
  </si>
  <si>
    <t>Mobile Listener Hours</t>
  </si>
  <si>
    <t>Web Revenue</t>
  </si>
  <si>
    <t>Web RPM</t>
  </si>
  <si>
    <t>Mobile RPM</t>
  </si>
  <si>
    <t>Mobile Revenue</t>
  </si>
  <si>
    <t>($ in millions)</t>
  </si>
  <si>
    <t>Mobile Hours % of Total</t>
  </si>
  <si>
    <t>Total YE Active Users</t>
  </si>
  <si>
    <t>Subscription Listener Hours</t>
  </si>
  <si>
    <t>Total AS Listener Hours</t>
  </si>
  <si>
    <t>2015-2018 Ad Forecast Assumptions</t>
  </si>
  <si>
    <t>2015-2018 Sub Forecast Assumptions</t>
  </si>
  <si>
    <t>Sub User Growth Rate</t>
  </si>
  <si>
    <t>Revenue</t>
  </si>
  <si>
    <t>Listener Hours (mm)</t>
  </si>
  <si>
    <t>% Revenue</t>
  </si>
  <si>
    <t>Capital Structure</t>
  </si>
  <si>
    <t>Equity</t>
  </si>
  <si>
    <t>Cost of Equity</t>
  </si>
  <si>
    <t>Debt</t>
  </si>
  <si>
    <t>Total</t>
  </si>
  <si>
    <t>Market Data</t>
  </si>
  <si>
    <t>Date</t>
  </si>
  <si>
    <t>Current Price</t>
  </si>
  <si>
    <t>Shares (mm)</t>
  </si>
  <si>
    <t>Beta</t>
  </si>
  <si>
    <t>Market Risk Premium</t>
  </si>
  <si>
    <t>Risk-Free Rate</t>
  </si>
  <si>
    <t>WACC Calculation</t>
  </si>
  <si>
    <t>Rate</t>
  </si>
  <si>
    <t>%</t>
  </si>
  <si>
    <t>WACC</t>
  </si>
  <si>
    <t>EBIT</t>
  </si>
  <si>
    <t>Per Song Rate</t>
  </si>
  <si>
    <t>Avg. Songs / Hour</t>
  </si>
  <si>
    <t>AS Revenue</t>
  </si>
  <si>
    <t>Sub Revenue</t>
  </si>
  <si>
    <t>25% of Gross Ad Rev</t>
  </si>
  <si>
    <t>Ad Content Acquisition Cost</t>
  </si>
  <si>
    <t>Sub Content Acq Cost</t>
  </si>
  <si>
    <t>AS Listener Hours</t>
  </si>
  <si>
    <t>Sub Listener Hours</t>
  </si>
  <si>
    <t>Cost by Rate</t>
  </si>
  <si>
    <t>Mobile RPM Growth</t>
  </si>
  <si>
    <t>Forecasted Acquisition Cost</t>
  </si>
  <si>
    <t>Operating Income</t>
  </si>
  <si>
    <t>Sell Through Rate</t>
  </si>
  <si>
    <t>Premium Ad / Remnant Ad</t>
  </si>
  <si>
    <t>Content Acquisition Drivers</t>
  </si>
  <si>
    <t>Ad Units per Hour</t>
  </si>
  <si>
    <t>Premium Ad Inventory</t>
  </si>
  <si>
    <t>Remnant Ad Inventory</t>
  </si>
  <si>
    <t>Premium Rev per Ad Unit</t>
  </si>
  <si>
    <t>Remnant Rev per Ad Unit</t>
  </si>
  <si>
    <t>Total Ad Inventory</t>
  </si>
  <si>
    <t>&lt;- big driver</t>
  </si>
  <si>
    <t>Size Premium</t>
  </si>
  <si>
    <t>% of Op Costs</t>
  </si>
  <si>
    <t>Net Working Capital</t>
  </si>
  <si>
    <t>Current Operating Assets</t>
  </si>
  <si>
    <t>Accounts Receivable</t>
  </si>
  <si>
    <t>Prepaid Exp.</t>
  </si>
  <si>
    <t>Current Operating Liabilities</t>
  </si>
  <si>
    <t>Accounts Payable</t>
  </si>
  <si>
    <t>Accrued Exp.</t>
  </si>
  <si>
    <t>Deferred Revenue</t>
  </si>
  <si>
    <t>NWC</t>
  </si>
  <si>
    <t>CA / Thousand Listener Hours</t>
  </si>
  <si>
    <t>CL / Thousand Listener Hours</t>
  </si>
  <si>
    <r>
      <rPr>
        <sz val="10"/>
        <color theme="1"/>
        <rFont val="Calibri"/>
        <family val="2"/>
      </rPr>
      <t>∆</t>
    </r>
    <r>
      <rPr>
        <sz val="10"/>
        <color theme="1"/>
        <rFont val="Arial"/>
        <family val="2"/>
      </rPr>
      <t xml:space="preserve"> in NWC</t>
    </r>
  </si>
  <si>
    <t>% Revenues</t>
  </si>
  <si>
    <t>Straight Tax</t>
  </si>
  <si>
    <t>Increase in TLC</t>
  </si>
  <si>
    <t>Decrease in TLC</t>
  </si>
  <si>
    <t>Starting TLC</t>
  </si>
  <si>
    <t>Ending TLC</t>
  </si>
  <si>
    <t>Discount Factor</t>
  </si>
  <si>
    <t>Discount Period</t>
  </si>
  <si>
    <t>.</t>
  </si>
  <si>
    <t>Terminal Value</t>
  </si>
  <si>
    <t>EBITDA</t>
  </si>
  <si>
    <t>2018E EBITDA</t>
  </si>
  <si>
    <t>2018E EBIT</t>
  </si>
  <si>
    <t>EV/EBITDA Multiple</t>
  </si>
  <si>
    <t>Implied EV/EBIT</t>
  </si>
  <si>
    <t>PV of TV</t>
  </si>
  <si>
    <t>Enterprise Value</t>
  </si>
  <si>
    <t>PV of FCF</t>
  </si>
  <si>
    <t>Implied Valuation Assumptions</t>
  </si>
  <si>
    <t>Perpetuity Growth</t>
  </si>
  <si>
    <t>Equity Value</t>
  </si>
  <si>
    <t>Shares Outstanding</t>
  </si>
  <si>
    <t>Share Price</t>
  </si>
  <si>
    <t>Cash</t>
  </si>
  <si>
    <t>Assumptions</t>
  </si>
  <si>
    <t>Case Selector</t>
  </si>
  <si>
    <t>Rate Assumptions</t>
  </si>
  <si>
    <t>Upside Case</t>
  </si>
  <si>
    <t>Ad Content Rate per Song</t>
  </si>
  <si>
    <t>Sub Content Rate per Song</t>
  </si>
  <si>
    <t>Base Case</t>
  </si>
  <si>
    <t>Downside Case</t>
  </si>
  <si>
    <t>Ad User Growth Rate Cases</t>
  </si>
  <si>
    <t>Selected Gr Rate</t>
  </si>
  <si>
    <t>Weighted Average Cost of Capital</t>
  </si>
  <si>
    <t>Ad Load Assumptions</t>
  </si>
  <si>
    <t>Exit Multiple</t>
  </si>
  <si>
    <t>Sensitivity Analysis</t>
  </si>
  <si>
    <t>Print?</t>
  </si>
  <si>
    <t>High</t>
  </si>
  <si>
    <t>Low</t>
  </si>
  <si>
    <t>difference between low and high</t>
  </si>
  <si>
    <t>Valuation Method</t>
  </si>
  <si>
    <t>Valuation Range</t>
  </si>
  <si>
    <t>Pandora</t>
  </si>
  <si>
    <t>Average</t>
  </si>
  <si>
    <t>Napster Inc.</t>
  </si>
  <si>
    <t>Best Buy Company Inc.</t>
  </si>
  <si>
    <t>Audible Inc</t>
  </si>
  <si>
    <t>Amazon.com Inc.</t>
  </si>
  <si>
    <t>CNET Networks Inc.</t>
  </si>
  <si>
    <t>CBS Corp.</t>
  </si>
  <si>
    <t>Hulu LLC</t>
  </si>
  <si>
    <t>Disney, News Corp, NBC Universal</t>
  </si>
  <si>
    <t>Citadel Broadcasting Corp.</t>
  </si>
  <si>
    <t>Cumulus Media Inc.</t>
  </si>
  <si>
    <t>XM Satellite Radio Holdings Inc</t>
  </si>
  <si>
    <t>Sirius Satellite Radio Inc.</t>
  </si>
  <si>
    <t>Skype Global</t>
  </si>
  <si>
    <t>Microsoft Corp.</t>
  </si>
  <si>
    <t>Revenue Multiple</t>
  </si>
  <si>
    <t>LTM Sales</t>
  </si>
  <si>
    <t>Target</t>
  </si>
  <si>
    <t>Acquirer</t>
  </si>
  <si>
    <t>Acquisitions</t>
  </si>
  <si>
    <t>Precedent Transactions</t>
  </si>
  <si>
    <t>Disney, Newscorp, NBC</t>
  </si>
  <si>
    <t>Hulu</t>
  </si>
  <si>
    <t>Microsoft Corporation</t>
  </si>
  <si>
    <t>Best Buy Co.</t>
  </si>
  <si>
    <t>Napster Inc</t>
  </si>
  <si>
    <t>np</t>
  </si>
  <si>
    <t>Completed</t>
  </si>
  <si>
    <t>Merger negotiations are rumore
Agreement to acquire 40% stake
is disclosed
Acquisition opf 40% stake is
completed</t>
  </si>
  <si>
    <t>US - Liberty Media Corp (LM) acquired preferred stock convertible into 40% stake, or 1.405 bil new common shares, in Sirius XM Radio Inc (SX), an owner and operator or radio stations, for $100 mil in liabilities, in a privately negotiated transaction. The transaction had been subject to customary closing conditions and regulatory approvals. Originally, LM was rumored to be in negotiations to merge with SX.</t>
  </si>
  <si>
    <t>Internet Services &amp; Software
Networking Systems (LAN,WAN)
Programming Services
Satellite Communications</t>
  </si>
  <si>
    <t>Radio and Television Broadcasting Stations</t>
  </si>
  <si>
    <t>Pvd cable TV svcs</t>
  </si>
  <si>
    <t>Satellite Communications
Microwave Communications</t>
  </si>
  <si>
    <t>Own,operate radio stations</t>
  </si>
  <si>
    <t xml:space="preserve">Unsolicited acquisiton plans a
disclosed
Terms are sweetened
Definitive acquisition agreeme
disclosed
Hart-Scott-Rodino Antitrust
waiting period expires
Acquisition is completed
</t>
  </si>
  <si>
    <t>US - Cumulus Media Inc (Cumulus) acquired the entire share capital of Citadel Broadcasting Corp (Citadel), a Las Vegas-based owner and operator of radio stations, for an amended USD 2.106 bil, in an unsolicited offer. Cumulus offered a choice of USD 30 in cash and 1.613 common shares or USD 23 in cash and 3.226 common shares, per Citadel share. Previously, Cumulus offered a sweetened USD 44 per share, or a total value of USD 2.328 bil. Originally, Cumulus offered USD 31 per share, or a total value of USD 1.693 bil. Based on Cumulus' closing stock price of USD 5.1 on 9 March 2011, the last full trading day prior to the announcement, each Citadel was valued at 39.453.</t>
  </si>
  <si>
    <t>Primary Business not Hi-Tech</t>
  </si>
  <si>
    <t xml:space="preserve">Acquisition plans are rumored
Definitive merger agreement is
disclosed
Fed of Southern Coop/LAF
approve the transaction
SS approves the transaction
Justice Department clears the
transaction
Merger is extended to 5/15
FCC approves merger
Merger is completed
</t>
  </si>
  <si>
    <t>US - Sirius Satellite Radio Inc (SS) merged with XM Satellite Radio Holdings Inc (XM), an owner and operator of radio broadcasting stations, in a stock swap merger of equals transaction valued at $6.226 bil, including the assumption of an estimated $1.6 bil in liabilities. SS offered 4.6 common shares per XM share. Based on SS' closing stock price of $3.7 on February 16, the last full trading day prior to the announcement of the terms, each XM share was valued at $17.02. The transaction was subject to customary closing conditions and regulatory approvals. On completion, SS and XM were to own 50% each of the merged entity. The merged entity was named Sirius XM Radio Inc. Originally, SS was rumored to be planning to acquire XM.</t>
  </si>
  <si>
    <t>Microwave Communications
Satellite Communications</t>
  </si>
  <si>
    <t>Own,op radio stations</t>
  </si>
  <si>
    <t>Acquisition agreement is
disclosed
Tender offer is completed;
20.5 mil shares accepted
Acquisition of 88.08% interest
is completed</t>
  </si>
  <si>
    <t>US - Amazon.com Inc (AM) acquired an 88.08% interest in Audible Inc (AI), a provider of online audio retail services, for $11.5 in cash per share, or a total value of $247.25 mil. Earlier, AM completed its tender for AI, by accepting 20.5 mil shares, or about 78.81% of AI's common shares outstanding. The transaction had been subject to customary closing conditions and regulatory approvals.</t>
  </si>
  <si>
    <t>Primary Business not Hi-Tech
Internet Services &amp; Software</t>
  </si>
  <si>
    <t>Miscellaneous Retail Trade</t>
  </si>
  <si>
    <t>Own,op e-commerce retail sites</t>
  </si>
  <si>
    <t>Amazon.com Inc</t>
  </si>
  <si>
    <t>Internet Services &amp; Software</t>
  </si>
  <si>
    <t>Business Services</t>
  </si>
  <si>
    <t>Pvd online audio ret svcs</t>
  </si>
  <si>
    <t xml:space="preserve">Agreement to launch tender
offer is disclosed
CNET Networks Board of
Directors approve transaction
Tender offer is launched
Hart-Scott-Rodino Antitrust
expired
Federal Cartel Office of
Germany clearance was obtained
Tender offer is completed;
117.9 mil shares accepted
Tender offer is completed
Acquisition is completed
</t>
  </si>
  <si>
    <t>US - CBS Corp (CBS) acquired all the outstanding common stock, of CNET Networks Inc (CN), a provider of multi- media services, for $11.5 in cash per share, or a total value of $1.808 bil. Earlier, CBS completed its tender offer for CN by accepting 117. 9 mil shares, or 70% of CHs common shares outstanding. The offer was conditioned upon at least a majority of CN's shares being tendered. The transaction was approved by the Board of Directors of CN and had been subject to regulatory approvals.</t>
  </si>
  <si>
    <t>Internet Services &amp; Software
Satellite Communications</t>
  </si>
  <si>
    <t>Pvd cable TV,advertising svcs</t>
  </si>
  <si>
    <t>CBS Corp</t>
  </si>
  <si>
    <t>Other Peripherals
Communication/Network Software
Networking Systems (LAN,WAN)
Other Computer Systems</t>
  </si>
  <si>
    <t>Computer and Office Equipment</t>
  </si>
  <si>
    <t>Pvd multi-media svcs</t>
  </si>
  <si>
    <t>CNET Networks Inc</t>
  </si>
  <si>
    <t>EBITDA Multiple</t>
  </si>
  <si>
    <t>Sales Multiple</t>
  </si>
  <si>
    <t>Target
 EBITDA
 LTM
($mil)</t>
  </si>
  <si>
    <t>Net Income
Last Twelve
Months
($ Mil)</t>
  </si>
  <si>
    <t>EBIT
Last
Twelve
Months
($ Mil)</t>
  </si>
  <si>
    <t>Target
 Net
Sales
 LTM
($mil)</t>
  </si>
  <si>
    <t xml:space="preserve">  Equity Value
     ($mil)</t>
  </si>
  <si>
    <t>Enterprise
  Value
  ($mil)</t>
  </si>
  <si>
    <t>Value of
Transaction
($mil)</t>
  </si>
  <si>
    <t xml:space="preserve">  %
sought</t>
  </si>
  <si>
    <t xml:space="preserve">  %
Owned
After
Trans-
action</t>
  </si>
  <si>
    <t xml:space="preserve"> % of
Shares
Acq.</t>
  </si>
  <si>
    <t>Status</t>
  </si>
  <si>
    <t>History File Event</t>
  </si>
  <si>
    <t>Synopsis</t>
  </si>
  <si>
    <t>High Tech Industry</t>
  </si>
  <si>
    <t>Acquiror
Primary
  SIC
  Code</t>
  </si>
  <si>
    <t>Acquiror Industry Sector</t>
  </si>
  <si>
    <t>Acquiror Short
Business Description</t>
  </si>
  <si>
    <t>Acquiror Name</t>
  </si>
  <si>
    <t>Target Industry Sector</t>
  </si>
  <si>
    <t>Target
Primary
  SIC
 Code</t>
  </si>
  <si>
    <t>Target Short 
Business Description</t>
  </si>
  <si>
    <t>Target Name</t>
  </si>
  <si>
    <t xml:space="preserve">  Date
Effective</t>
  </si>
  <si>
    <t xml:space="preserve">  Date
Announced</t>
  </si>
  <si>
    <t>-</t>
  </si>
  <si>
    <t>NA</t>
  </si>
  <si>
    <t>Implied EV using "Low" multiples</t>
  </si>
  <si>
    <t>Implied EV using "Median" multiples</t>
  </si>
  <si>
    <t>Implied EV using "Average" multiples</t>
  </si>
  <si>
    <t>Implied EV using "High" multiples</t>
  </si>
  <si>
    <t>Internet Services (Explorative &amp; Ad-Based)</t>
  </si>
  <si>
    <t>Median</t>
  </si>
  <si>
    <t>Digital Media Distribution</t>
  </si>
  <si>
    <t>Broadcast Radio</t>
  </si>
  <si>
    <t>Internet Retail</t>
  </si>
  <si>
    <t>Average Weighted Multiples</t>
  </si>
  <si>
    <t>Weights</t>
  </si>
  <si>
    <t>Category</t>
  </si>
  <si>
    <t>Pandora Media Inc.</t>
  </si>
  <si>
    <t>P</t>
  </si>
  <si>
    <t>Google Inc.</t>
  </si>
  <si>
    <t>GOOG</t>
  </si>
  <si>
    <t>TripAdvisor Inc.</t>
  </si>
  <si>
    <t>TRIP</t>
  </si>
  <si>
    <t>Facebook Inc.</t>
  </si>
  <si>
    <t>FB</t>
  </si>
  <si>
    <t>LinkedIn Corp.</t>
  </si>
  <si>
    <t>LNKD</t>
  </si>
  <si>
    <t>Travelzoo Inc.</t>
  </si>
  <si>
    <t>TZOO</t>
  </si>
  <si>
    <t>Yelp Inc.</t>
  </si>
  <si>
    <t>YELP</t>
  </si>
  <si>
    <t xml:space="preserve">      </t>
  </si>
  <si>
    <t>CBS</t>
  </si>
  <si>
    <t>Demand Media Inc.</t>
  </si>
  <si>
    <t>DMD</t>
  </si>
  <si>
    <t>Blinkx plc</t>
  </si>
  <si>
    <t>BLNX</t>
  </si>
  <si>
    <t>Yahoo! Inc.</t>
  </si>
  <si>
    <t>YHOO</t>
  </si>
  <si>
    <t>CC Media Holdings Inc.</t>
  </si>
  <si>
    <t>CCMO</t>
  </si>
  <si>
    <t>CMLS</t>
  </si>
  <si>
    <t>LIN TV Corp.</t>
  </si>
  <si>
    <t>TVL</t>
  </si>
  <si>
    <t>Nexstar Broadcasting Group Inc.</t>
  </si>
  <si>
    <t>NXST</t>
  </si>
  <si>
    <t>Fisher Communications Inc.</t>
  </si>
  <si>
    <t>FSCI</t>
  </si>
  <si>
    <t>Saga Communications Inc.</t>
  </si>
  <si>
    <t>SGA</t>
  </si>
  <si>
    <t>Entercom Communications Corp.</t>
  </si>
  <si>
    <t>ETM</t>
  </si>
  <si>
    <t>SIRIUS XM Radio Inc.</t>
  </si>
  <si>
    <t>SIRI</t>
  </si>
  <si>
    <t>AMZN</t>
  </si>
  <si>
    <t>Netflix Inc.</t>
  </si>
  <si>
    <t>NFLX</t>
  </si>
  <si>
    <t>Total Leverage</t>
  </si>
  <si>
    <t>Total Capital</t>
  </si>
  <si>
    <t>Total Debt</t>
  </si>
  <si>
    <t>NTM EBITDA</t>
  </si>
  <si>
    <t>NTM Sales</t>
  </si>
  <si>
    <t>LTM EBIT</t>
  </si>
  <si>
    <t>LTM EBITDA</t>
  </si>
  <si>
    <t>Market Value of Equity</t>
  </si>
  <si>
    <t>Stock Price</t>
  </si>
  <si>
    <t>Company</t>
  </si>
  <si>
    <t>Identifier</t>
  </si>
  <si>
    <t>EV as a multiple of</t>
  </si>
  <si>
    <t>Financial Metric</t>
  </si>
  <si>
    <t>Beta - 2 yr</t>
  </si>
  <si>
    <t>EV-Rev-Growth Ratio</t>
  </si>
  <si>
    <t>Est. Annual Rev Growth - 1 yr (%)</t>
  </si>
  <si>
    <t>LTM EBITDA Margin</t>
  </si>
  <si>
    <t>LTM Gross Profit Margin</t>
  </si>
  <si>
    <t>LTM Gross Profit</t>
  </si>
  <si>
    <t>% off 52 Week High</t>
  </si>
  <si>
    <t>52 Week High</t>
  </si>
  <si>
    <t>LTM Operating  Results and Margins</t>
  </si>
  <si>
    <t>Stock Performance</t>
  </si>
  <si>
    <t>Comparable Company Analysis</t>
  </si>
  <si>
    <t>2018E FCF</t>
  </si>
  <si>
    <t>Perpetuity Growth Rate</t>
  </si>
  <si>
    <t>Historical Revenue</t>
  </si>
  <si>
    <t>Revenue Growth</t>
  </si>
  <si>
    <t>Historical Gross Profit</t>
  </si>
  <si>
    <t>Historical NWC</t>
  </si>
  <si>
    <t>Historical Capex</t>
  </si>
  <si>
    <t>Historical D&amp;A</t>
  </si>
  <si>
    <t>FY - 4</t>
  </si>
  <si>
    <t>FY - 3</t>
  </si>
  <si>
    <t>FY - 2</t>
  </si>
  <si>
    <t>FY - 1</t>
  </si>
  <si>
    <t>LTM - 1</t>
  </si>
  <si>
    <t>LTM</t>
  </si>
  <si>
    <t xml:space="preserve"> </t>
  </si>
  <si>
    <t>Pandora EV:</t>
  </si>
  <si>
    <t>AwABTAVMT0NBTAFI/////wFQNwEAAB5DSVEuTlhTVC5JUV9FU1RfUkVWX0dST1dUSF8xWVIBAAAA7ukHAAIAAAAHMjEuODk5OQAQzYKtc6bPCJNdn61zps8IIENJUS5UUklQLklRX01BUktFVENBUC4xMi8xMi8yMDEyAQAAAMkjAgACAAAACzU4MjMuMjkyMjIyAQYAAAAFAAAAATEBAAAACjE1NzQ0MzgzODIDAAAAAzE2MAIAAAAGMTAwMDU0BAAAAAEwBwAAAAoxMi8xMS8yMDEysGuArXOmzwiTXZ+tc6bPCB9DSVEuQ0NNTy5JUV9ZRUFSSElHSC4xMi8xMi8yMDEyAQAAAGBqAQACAAAAAzYuNQCwa4Ctc6bPCDP8nK1zps8IGENJUS5GQi5JUV9URVYuMTIvMTIvMjAxMgEAAAAX2zwBAgAAAAw1MTA2Ni42MzYwNzcBBgAAAAUAAAABMQEAAAAKMTU3MjgxNDQzMgMAAAADMTYwAgAAAAYxMDAwNjAEAAAAATAHAAAACjEyLzExLzIwMTKwa4Ctc6bPCPO+oa1zps8IIkNJUS5ZSE9PLklRX0VCSVREQS4yMDAwLjEyLzEyLzIwMTIBAAAAmGYBAAIAAAAIMTMyMS40MzEBCAAAAAUAAAABMQEAAAAKMTU3NTI0Nzg5NQMAAAADMTYwAgAAAAQ0MDUxBAAAAAEwBwAAAAoxMi8xMi8yMDEyCAAAAAk5LzMwLzIwMTIJAAAAATCwa4Ctc6bPCPO+oa1zps8IGUNJUS5UVkwuSVFfVEVWLjEyLzEyLzIwMTIBAAAAdXgAAAIAAAAKOTY0LjA5OTA5NQEGAAAABQAAAAExAQAAAAoxNTc1NTU3MDc5AwAAAAMxNjACAAAABjEwMDA2MAQAAAABMAc</t>
  </si>
  <si>
    <t>AAAAKMTIvMTEvMjAxMrBrgK1zps8Ik12frXOmzwgnQ0lRLlJPSUEuSy5JUV9UT1RBTF9SRVYuMjAwMC4xMi8xMi8yMDEyAQAAACaDAAACAAAABzQxNy4wMDMBCAAAAAUAAAABMQEAAAAKMTU3Njg5NzE2MwMAAAADMTYwAgAAAAIyOAQAAAABMAcAAAAKMTIvMTIvMjAxMggAAAAJOS8zMC8yMDEyCQAAAAEwsGuArXOmzwiTXZ+tc6bPCCVDSVEuRElBTC5JUV9UT1RBTF9DQVAuMjAwMC4xMi8xMi8yMDEyAQAAAK6bdAACAAAABzI3Ny45NTIBCAAAAAUAAAABMQEAAAAKMTU3NjA1Mzg3MAMAAAADMTYwAgAAAAQ0MTc1BAAAAAEwBwAAAAoxMi8xMi8yMDEyCAAAAAk5LzMwLzIwMTIJAAAAATCwa4Ctc6bPCPO+oa1zps8IIkNJUS5CTE5YLklRX1JFVkVOVUVfRVNULi4xMi8yLzIwMTIBAAAALNSlAAIAAAAIMTgyLjQ3MzgBDgAAAAUAAAACMTEBAAAAATACAAAABzI3MDUyNDgDAAAABjEwMDE4MAQAAAABMwYAAAABMwcAAAADMTYwCAAAAAEwCQAAAAExCgAAAAEwCwAAAAoxODkxODYwNjY4DAAAAAIxMg0AAAAJMTIvMy8yMDEyEAAAAAkxMi8yLzIwMTIQzYKtc6bPCDP8nK1zps8II0NJUS5GQi5JUV9UT1RBTF9SRVYuMjAwMC4xMi8xMi8yMDEyAQAAABfbPAECAAAABDQ2MzUBCAAAAAUAAAABMQEAAAAKMTU3MjgyOTY2NgMAAAADMTYwAgAAAAIyOAQAAAABMAcAAAAKMTIvMTIvMjAxMggAAAAJOS8zMC8yMDEyCQAAAAEwEM</t>
  </si>
  <si>
    <t>2CrXOmzwjzvqGtc6bPCB9DSVEuVFJJUC5JUV9ZRUFSSElHSC4xMi8xMi8yMDEyAQAAAMkjAgACAAAABTQ3LjgxALBrgK1zps8Ik12frXOmzwgeQ0lRLkRNRC5JUV9ZRUFSSElHSC4xMi8xMi8yMDEyAQAAAPBeCgACAAAABDEyLjUAsGuArXOmzwiTXZ+tc6bPCCRDSVEuVFpPTy5JUV9MQVNUU0FMRVBSSUNFLjEyLzEyLzIwMTIBAAAARLIsAAIAAAAFMTguMzMAsGuArXOmzwiTXZ+tc6bPCCFDSVEuUk9JQS5LLklRX1lFQVJISUdILjEyLzEyLzIwMTIBAAAAJoMAAAIAAAAEMS4yNQCwa4Ctc6bPCPO+oa1zps8IJENJUS5DTUxTLklRX0xBU1RTQUxFUFJJQ0UuMTIvMTIvMjAxMgEAAABsagAAAgAAAAQyLjQyALBrgK1zps8IM/ycrXOmzwghQ0lRLkdPT0cuSVFfRUJJVERBX0VTVC4uMTIvMi8yMDEyAQAAAKhxAAACAAAACjIwODc1LjcwODcBDgAAAAUAAAACMTEBAAAAATACAAAABzE3NzkwOTEDAAAABjEwMDE4NwQAAAABMgYAAAABMwcAAAADMTYwCAAAAAEwCQAAAAExCgAAAAEwCwAAAAoxODgxMDE4ODgzDAAAAAIxMg0AAAAJMTIvMy8yMDEyEAAAAAkxMi8yLzIwMTIQzYKtc6bPCPO+oa1zps8IIUNJUS5UWk9PLklRX0VCSVREQV9FU1QuLjEyLzIvMjAxMgEAAABEsiwAAgAAAAYzMC41NjgBDgAAAAUAAAACMTEBAAAAATACAAAABzIyNzk1MjIDAAAABjEwMDE4NwQAAAABMgYAAAABMwcAAAADMTYwCAAAAAEwCQAAA</t>
  </si>
  <si>
    <t>AExCgAAAAEwCwAAAAoxODc4NjI5Nzg5DAAAAAIxMg0AAAAJMTIvMy8yMDEyEAAAAAkxMi8yLzIwMTIQzYKtc6bPCPO+oa1zps8IIENJUS5ZRUxQLklRX0VCSVQuMjAwMC4xMi8xMi8yMDEyAQAAAMi8dgECAAAABy0xNi40NTkBCAAAAAUAAAABMQEAAAAKMTU3NDE0ODQ0OAMAAAADMTYwAgAAAAM0MDAEAAAAATAHAAAACjEyLzEyLzIwMTIIAAAACTkvMzAvMjAxMgkAAAABMBDNgq1zps8Ik12frXOmzwgfQ0lRLkRNRC5JUV9NQVJLRVRDQVAuMTIvMTIvMjAxMgEAAADwXgoAAgAAAAg3NzUuMTU2MgEGAAAABQAAAAExAQAAAAoxNTc1OTMyMDM2AwAAAAMxNjACAAAABjEwMDA1NAQAAAABMAcAAAAKMTIvMTEvMjAxMrBrgK1zps8Ik12frXOmzwgmQ0lRLk5GTFguSVFfVE9UQUxfREVCVC4yMDAwLjEyLzEyLzIwMTIBAAAADH0AAAIAAAADNDAwAQgAAAAFAAAAATEBAAAACjE1NzM4ODc0NDMDAAAAAzE2MAIAAAAENDE3MwQAAAABMAcAAAAKMTIvMTIvMjAxMggAAAAJOS8zMC8yMDEyCQAAAAEwsGuArXOmzwiTXZ+tc6bPCCRDSVEuRkIuSVFfVE9UQUxfREVCVC4yMDAwLjEyLzEyLzIwMTIBAAAAF9s8AQIAAAADOTAyAQgAAAAFAAAAATEBAAAACjE1NzI4Mjk2NjYDAAAAAzE2MAIAAAAENDE3MwQAAAABMAcAAAAKMTIvMTIvMjAxMggAAAAJOS8zMC8yMDEyCQAAAAEwsGuArXOmzwhUIKStc6bPCBRDSVEuTE5LRC5JUV9C</t>
  </si>
  <si>
    <t>RVRBXzJZUgEAAADDjnUAAgAAABAxLjY1MjczNjQwMzM2NzM3ABDNgq1zps8I876hrXOmzwgfQ0lRLkFNWk4uSVFfWUVBUkhJR0guMTIvMTIvMjAxMgEAAAA9SQAAAgAAAAYyNjQuMTEAsGuArXOmzwiTXZ+tc6bPCCVDSVEuQ0NNTy5JUV9UT1RBTF9DQVAuMjAwMC4xMi8xMi8yMDEyAQAAAGBqAQACAAAACTEyOTkyLjYyMwEIAAAABQAAAAExAQAAAAoxNTczODYxNzYyAwAAAAMxNjACAAAABDQxNzUEAAAAATAHAAAACjEyLzEyLzIwMTIIAAAACTkvMzAvMjAxMgkAAAABMLBrgK1zps8I876hrXOmzwgmQ0lRLkFNWk4uSVFfVE9UQUxfREVCVC4yMDAwLjEyLzEyLzIwMTIBAAAAPUkAAAIAAAABMAEIAAAABQAAAAExAQAAAAoxNTcyOTQ3OTIzAwAAAAMxNjACAAAABDQxNzMEAAAAATAHAAAACjEyLzEyLzIwMTIIAAAACTkvMzAvMjAxMgkAAAABMLBrgK1zps8Ik12frXOmzwglQ0lRLkRNRC5JUV9UT1RBTF9ERUJULjIwMDAuMTIvMTIvMjAxMgEAAADwXgoAAgAAAAEwAQgAAAAFAAAAATEBAAAACjE1NzU5NTU0NTgDAAAAAzE2MAIAAAAENDE3MwQAAAABMAcAAAAKMTIvMTIvMjAxMggAAAAJOS8zMC8yMDEyCQAAAAEwsGuArXOmzwgz/Jytc6bPCCZDSVEuVFpPTy5JUV9UT1RBTF9ERUJULjIwMDAuMTIvMTIvMjAxMgEAAABEsiwAAgAAAAEwAQgAAAAFAAAAATEBAAAACjE1NzMwODQzMDEDAAAAAzE2MAIAAAAENDE3MwQ</t>
  </si>
  <si>
    <t>AAAABMAcAAAAKMTIvMTIvMjAxMggAAAAJOS8zMC8yMDEyCQAAAAEwsGuArXOmzwhUIKStc6bPCCNDSVEuVFZMLklRX0xBU1RTQUxFUFJJQ0UuMTIvMTIvMjAxMgEAAAB1eAAAAgAAAAM3LjUAsGuArXOmzwhUIKStc6bPCCBDSVEuU0dBLklRX0VCSVREQV9FU1QuLjEyLzIvMjAxMgEAAADY6AQAAgAAAAYzOC42MDgBDgAAAAUAAAACMTEBAAAAATACAAAABzI2NjAzNDkDAAAABjEwMDE4NwQAAAABMgYAAAABMwcAAAADMTYwCAAAAAEwCQAAAAExCgAAAAEwCwAAAAoxODYxMTAxMTQ4DAAAAAIxMg0AAAAJMTIvMy8yMDEyEAAAAAkxMi8yLzIwMTIQzYKtc6bPCPO+oa1zps8IIkNJUS5OWFNULklRX0VCSVREQS4yMDAwLjEyLzEyLzIwMTIBAAAA7ukHAAIAAAAHMTI4Ljc4OQEIAAAABQAAAAExAQAAAAoxNTc1MzM2Mjc0AwAAAAMxNjACAAAABDQwNTEEAAAAATAHAAAACjEyLzEyLzIwMTIIAAAACTkvMzAvMjAxMgkAAAABMLBrgK1zps8I876hrXOmzwggQ0lRLkNCUy5JUV9FQklUREFfRVNULi4xMi8yLzIwMTIBAAAAH6KnAQIAAAAJMzc5MS42NDcyAQ4AAAAFAAAAAjExAQAAAAEwAgAAAAcyNjI0MDgyAwAAAAYxMDAxODcEAAAAATIGAAAAATMHAAAAAzE2MAgAAAABMAkAAAABMQoAAAABMAsAAAAKMTg4ODQzMjc2MQwAAAACMTINAAAACTEyLzMvMjAxMhAAAAAJMTIvMi8yMDEyEM2CrXOmzwjzvqGtc6bPCBxDSVEuUC</t>
  </si>
  <si>
    <t>5JUV9ZRUFSSElHSC4xMi8xMi8yMDEyAQAAAIUjaQACAAAAAjI2ALBrgK1zps8I876hrXOmzwglQ0lRLkNCUy5JUV9UT1RBTF9ERUJULjIwMDAuMTIvMTIvMjAxMgEAAAAfoqcBAgAAAAQ1OTI3AQgAAAAFAAAAATEBAAAACjE1NzQ5MDQ2NDUDAAAAAzE2MAIAAAAENDE3MwQAAAABMAcAAAAKMTIvMTIvMjAxMggAAAAJOS8zMC8yMDEyCQAAAAEwsGuArXOmzwgz/Jytc6bPCCVDSVEuR09PRy5JUV9UT1RBTF9DQVAuMjAwMC4xMi8xMi8yMDEyAQAAAKhxAAACAAAABTc1OTI4AQgAAAAFAAAAATEBAAAACjE1NzM2NTUxNTEDAAAAAzE2MAIAAAAENDE3NQQAAAABMAcAAAAKMTIvMTIvMjAxMggAAAAJOS8zMC8yMDEyCQAAAAEwsGuArXOmzwiTXZ+tc6bPCB5DSVEuVFpPTy5JUV9HUC4yMDAwLjEyLzEyLzIwMTIBAAAARLIsAAIAAAAHMTMzLjk0NAEIAAAABQAAAAExAQAAAAoxNTczMDg0MzAxAwAAAAMxNjACAAAAAjEwBAAAAAEwBwAAAAoxMi8xMi8yMDEyCAAAAAk5LzMwLzIwMTIJAAAAATAQzYKtc6bPCJNdn61zps8IHUNJUS5TR0EuSVFfR1AuMjAwMC4xMi8xMi8yMDEyAQAAANjoBAACAAAABjM3LjAwMwEIAAAABQAAAAExAQAAAAoxNTc1NTc4MzQ5AwAAAAMxNjACAAAAAjEwBAAAAAEwBwAAAAoxMi8xMi8yMDEyCAAAAAk5LzMwLzIwMTIJAAAAATCwa4Ctc6bPCJNdn61zps8IJENJUS5DQlMuSVFfVE9UQUxfQ0FQL</t>
  </si>
  <si>
    <t>jIwMDAuMTIvMTIvMjAxMgEAAAAfoqcBAgAAAAUxNjIxNgEIAAAABQAAAAExAQAAAAoxNTc0OTA0NjQ1AwAAAAMxNjACAAAABDQxNzUEAAAAATAHAAAACjEyLzEyLzIwMTIIAAAACTkvMzAvMjAxMgkAAAABMLBrgK1zps8I876hrXOmzwggQ0lRLkxOS0QuSVFfTUFSS0VUQ0FQLjEyLzEyLzIwMTIBAAAAw451AAIAAAAMMTIxOTAuMDQxNTE0AQYAAAAFAAAAATEBAAAACjE1NzQwMjYzMjgDAAAAAzE2MAIAAAAGMTAwMDU0BAAAAAEwBwAAAAoxMi8xMS8yMDEysGuArXOmzwjzvqGtc6bPCCFDSVEuQ0JTLklRX0VCSVREQS4yMDAwLjEyLzEyLzIwMTIBAAAAH6KnAQIAAAAEMzQyMAEIAAAABQAAAAExAQAAAAoxNTc0OTA0NjQ1AwAAAAMxNjACAAAABDQwNTEEAAAAATAHAAAACjEyLzEyLzIwMTIIAAAACTkvMzAvMjAxMgkAAAABMBDNgq1zps8IVCCkrXOmzwgTQ0lRLkVUTS5JUV9CRVRBXzJZUgEAAADmCQYAAgAAABAyLjIyOTkyMTY3MTI4NzQ5ABDNgq1zps8Ik12frXOmzwghQ0lRLkNDTU8uSVFfRUJJVERBX0VTVC4uMTIvMi8yMDEyAQAAAGBqAQACAAAABjE4NDAuNAEOAAAABQAAAAIxMQEAAAABMAIAAAAHMTgxNDA4OQMAAAAGMTAwMTg3BAAAAAEyBgAAAAEzBwAAAAMxNjAIAAAAATAJAAAAATEKAAAAATALAAAACjE3NjI2NTE4OTcMAAAAAjEyDQAAAAkxMi8zLzIwMTIQAAAACTEyLzIvMjAxMhDNgq1zps8I876h</t>
  </si>
  <si>
    <t>rXOmzwgbQ0lRLlAuSVFfRVNUX1JFVl9HUk9XVEhfMVlSAQAAAIUjaQACAAAABzU0LjcyMzYAEM2CrXOmzwiTXZ+tc6bPCBtDSVEuUC5JUV9HUC4yMDAwLjEyLzEyLzIwMTIBAAAAhSNpAAIAAAAHMTIzLjcxMgEIAAAABQAAAAExAQAAAAoxNTgwMDA2NzgzAwAAAAMxNjACAAAAAjEwBAAAAAEwBwAAAAoxMi8xMi8yMDEyCAAAAAoxMC8zMS8yMDEyCQAAAAEwEM2CrXOmzwjzvqGtc6bPCCVDSVEuTE5LRC5JUV9UT1RBTF9SRVYuMjAwMC4xMi8xMi8yMDEyAQAAAMOOdQACAAAABzgzNi40MzIBCAAAAAUAAAABMQEAAAAKMTU3NDA0MjQxOQMAAAADMTYwAgAAAAIyOAQAAAABMAcAAAAKMTIvMTIvMjAxMggAAAAJOS8zMC8yMDEyCQAAAAEwEM2CrXOmzwjzvqGtc6bPCB5DSVEuTlhTVC5JUV9HUC4yMDAwLjEyLzEyLzIwMTIBAAAA7ukHAAIAAAAHMjYwLjcwNwEIAAAABQAAAAExAQAAAAoxNTc1MzM2Mjc0AwAAAAMxNjACAAAAAjEwBAAAAAEwBwAAAAoxMi8xMi8yMDEyCAAAAAk5LzMwLzIwMTIJAAAAATCwa4Ctc6bPCDP8nK1zps8IFENJUS5DQ01PLklRX0JFVEFfMllSAQAAAGBqAQACAAAAETAuNTk2Mjc3NTM3NTAxNTY3ABDNgq1zps8Ik12frXOmzwgmQ0lRLkJMTlguSVFfVE9UQUxfREVCVC4yMDAwLjEyLzEyLzIwMTIBAAAALNSlAAIAAAABMAEIAAAABQAAAAExAQAAAAoxNTc2Njk4MDk3AwAAAAMxNjACAAAABDQ</t>
  </si>
  <si>
    <t>xNzMEAAAAATAHAAAACjEyLzEyLzIwMTIIAAAACTkvMzAvMjAxMgkAAAABMLBrgK1zps8Ik12frXOmzwglQ0lRLlNJUkkuSVFfVE9UQUxfQ0FQLjIwMDAuMTIvMTIvMjAxMgEAAAAecAEAAgAAAAg2NTkwLjkyOAEIAAAABQAAAAExAQAAAAoxNTc0MDQxODA2AwAAAAMxNjACAAAABDQxNzUEAAAAATAHAAAACjEyLzEyLzIwMTIIAAAACTkvMzAvMjAxMgkAAAABMLBrgK1zps8I876hrXOmzwggQ0lRLkZCLklRX0VCSVREQS4yMDAwLjEyLzEyLzIwMTIBAAAAF9s8AQIAAAAEMTA5MAEIAAAABQAAAAExAQAAAAoxNTcyODI5NjY2AwAAAAMxNjACAAAABDQwNTEEAAAAATAHAAAACjEyLzEyLzIwMTIIAAAACTkvMzAvMjAxMgkAAAABMBDNgq1zps8IM/ycrXOmzwgeQ0lRLlRSSVAuSVFfRVNUX1JFVl9HUk9XVEhfMVlSAQAAAMkjAgACAAAABzE5LjM3ODUAEM2CrXOmzwjzvqGtc6bPCCVDSVEuU0dBLklRX1RPVEFMX0RFQlQuMjAwMC4xMi8xMi8yMDEyAQAAANjoBAACAAAABjU4LjgyOAEIAAAABQAAAAExAQAAAAoxNTc1NTc4MzQ5AwAAAAMxNjACAAAABDQxNzMEAAAAATAHAAAACjEyLzEyLzIwMTIIAAAACTkvMzAvMjAxMgkAAAABMLBrgK1zps8Ik12frXOmzwglQ0lRLllIT08uSVFfVE9UQUxfUkVWLjIwMDAuMTIvMTIvMjAxMgEAAACYZgEAAgAAAAg0OTY0LjkxMgEIAAAABQAAAAExAQAAAAoxNTc1MjQ3ODk1AwAAAA</t>
  </si>
  <si>
    <t>MxNjACAAAAAjI4BAAAAAEwBwAAAAoxMi8xMi8yMDEyCAAAAAk5LzMwLzIwMTIJAAAAATCwa4Ctc6bPCPO+oa1zps8IJUNJUS5HT09HLklRX1RPVEFMX1JFVi4yMDAwLjEyLzEyLzIwMTIBAAAAqHEAAAIAAAAFNDc1NDMBCAAAAAUAAAABMQEAAAAKMTU3MzY1NTE1MQMAAAADMTYwAgAAAAIyOAQAAAABMAcAAAAKMTIvMTIvMjAxMggAAAAJOS8zMC8yMDEyCQAAAAEwEM2CrXOmzwjzvqGtc6bPCCNDSVEuRVRNLklRX0xBU1RTQUxFUFJJQ0UuMTIvMTIvMjAxMgEAAADmCQYAAgAAAAU2LjgwNQCwa4Ctc6bPCFQgpK1zps8IJENJUS5GU0NJLklRX0xBU1RTQUxFUFJJQ0UuMTIvMTIvMjAxMgEAAAAt7QUAAgAAAAUyNS41OQCwa4Ctc6bPCJNdn61zps8IIENJUS5ESUFMLklRX01BUktFVENBUC4xMi8xMi8yMDEyAQAAAK6bdAACAAAACDEzLjk3MjgzAQYAAAAFAAAAATEBAAAACjE1NzYwNTM1MDADAAAAAzE2MAIAAAAGMTAwMDU0BAAAAAEwBwAAAAoxMi8xMS8yMDEysGuArXOmzwjzvqGtc6bPCB5DSVEuQkxOWC5JUV9FU1RfUkVWX0dST1dUSF8xWVIBAAAALNSlAAIAAAAHNDQuMDY5MQAQzYKtc6bPCDP8nK1zps8IFENJUS5DTUxTLklRX0JFVEFfMllSAQAAAGxqAAACAAAAETAuODI0NjE4NzE5MzQ5MTk0ABDNgq1zps8Ik12frXOmzwgiQ0lRLlJPSUEuSy5JUV9NQVJLRVRDQVAuMTIvMTIvMjAxMgEAAAAmgwAAAgAAA</t>
  </si>
  <si>
    <t>AgzNy4wMTgzNAEGAAAABQAAAAExAQAAAAoxNTc2ODgxNjk1AwAAAAMxNjACAAAABjEwMDA1NAQAAAABMAcAAAAKMTIvMTEvMjAxMrBrgK1zps8I876hrXOmzwghQ0lRLllIT08uSVFfRUJJVERBX0VTVC4uMTIvMi8yMDEyAQAAAJhmAQACAAAACTE3NDguNjQ5MwEOAAAABQAAAAIxMQEAAAABMAIAAAAHMTgxMzE5OAMAAAAGMTAwMTg3BAAAAAEyBgAAAAEzBwAAAAMxNjAIAAAAATAJAAAAATEKAAAAATALAAAACjE4NzIyMjc5NzcMAAAAAjEyDQAAAAkxMi8zLzIwMTIQAAAACTEyLzIvMjAxMhDNgq1zps8I876hrXOmzwgfQ0lRLlAuSVFfUkVWRU5VRV9FU1QuLjEyLzIvMjAxMgEAAACFI2kAAgAAAAg1MTUuOTU4OAEOAAAABQAAAAIxMQEAAAABMAIAAAAIMzE4NjU5NjADAAAABjEwMDE4MAQAAAABMgYAAAABMwcAAAADMTYwCAAAAAEwCQAAAAExCgAAAAEwCwAAAAoxODk4NDE5ODUyDAAAAAIxMg0AAAAJMTIvMy8yMDEyEAAAAAkxMi8yLzIwMTIQzYKtc6bPCFQgpK1zps8IHUNJUS5QLklRX0VCSVQuMjAwMC4xMi8xMi8yMDEyAQAAAIUjaQACAAAABy0zMS4zNTEBCAAAAAUAAAABMQEAAAAKMTU4MDAwNjc4MwMAAAADMTYwAgAAAAM0MDAEAAAAATAHAAAACjEyLzEyLzIwMTIIAAAACjEwLzMxLzIwMTIJAAAAATAQzYKtc6bPCJNdn61zps8IIENJUS5UWk9PLklRX01BUktFVENBUC4xMi8xMi8yMDEyAQAAAESyLAAC</t>
  </si>
  <si>
    <t>AAAACTI5MS4wNTQ0MgEGAAAABQAAAAExAQAAAAoxNTczMDYxNTAzAwAAAAMxNjACAAAABjEwMDA1NAQAAAABMAcAAAAKMTIvMTEvMjAxMrBrgK1zps8I876hrXOmzwgeQ0lRLlNHQS5JUV9ZRUFSSElHSC4xMi8xMi8yMDEyAQAAANjoBAACAAAABTQ3Ljk4ALBrgK1zps8Ik12frXOmzwgdQ0lRLlAuSVFfTUFSS0VUQ0FQLjEyLzEyLzIwMTIBAAAAhSNpAAIAAAAJMTM1Mi4xMDQyAQYAAAAFAAAAATEBAAAACjE1ODAwMDY3NTcDAAAAAzE2MAIAAAAGMTAwMDU0BAAAAAEwBwAAAAoxMi8xMS8yMDEysGuArXOmzwiTXZ+tc6bPCCJDSVEuUk9JQS5LLklRX0VCSVQuMjAwMC4xMi8xMi8yMDEyAQAAACaDAAACAAAABjcwLjQyOAEIAAAABQAAAAExAQAAAAoxNTc2ODk3MTYzAwAAAAMxNjACAAAAAzQwMAQAAAABMAcAAAAKMTIvMTIvMjAxMggAAAAJOS8zMC8yMDEyCQAAAAEwsGuArXOmzwjzvqGtc6bPCB5DSVEuQU1aTi5JUV9HUC4yMDAwLjEyLzEyLzIwMTIBAAAAPUkAAAIAAAAFMTM1OTEBCAAAAAUAAAABMQEAAAAKMTU3Mjk0NzkyMwMAAAADMTYwAgAAAAIxMAQAAAABMAcAAAAKMTIvMTIvMjAxMggAAAAJOS8zMC8yMDEyCQAAAAEwsGuArXOmzwjzvqGtc6bPCCBDSVEuTkZMWC5JUV9FQklULjIwMDAuMTIvMTIvMjAxMgEAAAAMfQAAAgAAAAcxMDEuMjI2AQgAAAAFAAAAATEBAAAACjE1NzM4ODc0NDMDAAAAAzE2MAI</t>
  </si>
  <si>
    <t>AAAADNDAwBAAAAAEwBwAAAAoxMi8xMi8yMDEyCAAAAAk5LzMwLzIwMTIJAAAAATCwa4Ctc6bPCJNdn61zps8IH0NJUS5TSVJJLklRX1lFQVJISUdILjEyLzEyLzIwMTIBAAAAHnABAAIAAAAEMi45NwCwa4Ctc6bPCJNdn61zps8IH0NJUS5QLklRX0VCSVREQS4yMDAwLjEyLzEyLzIwMTIBAAAAhSNpAAIAAAAHLTI0LjczNgEIAAAABQAAAAExAQAAAAoxNTgwMDA2NzgzAwAAAAMxNjACAAAABDQwNTEEAAAAATAHAAAACjEyLzEyLzIwMTIIAAAACjEwLzMxLzIwMTIJAAAAATAQzYKtc6bPCJNdn61zps8IJUNJUS5BTVpOLklRX1RPVEFMX1JFVi4yMDAwLjEyLzEyLzIwMTIBAAAAPUkAAAIAAAAFNTcyNTYBCAAAAAUAAAABMQEAAAAKMTU3Mjk0NzkyMwMAAAADMTYwAgAAAAIyOAQAAAABMAcAAAAKMTIvMTIvMjAxMggAAAAJOS8zMC8yMDEyCQAAAAEwsGuArXOmzwjzvqGtc6bPCCJDSVEuRlNDSS5JUV9SRVZFTlVFX0VTVC4uMTIvMi8yMDEyAQAAAC3tBQACAAAABzE2NS42MTIBDgAAAAUAAAACMTEBAAAAATACAAAACDI3NTA4MzM1AwAAAAYxMDAxODAEAAAAATIGAAAAATMHAAAAAzE2MAgAAAABMAkAAAABMQoAAAABMAsAAAAKMTg4ODQzMjY5NwwAAAACMTINAAAACTEyLzMvMjAxMhAAAAAJMTIvMi8yMDEyEM2CrXOmzwhUIKStc6bPCCJDSVEuR09PRy5JUV9SRVZFTlVFX0VTVC4uMTIvMi8yMDEyAQAAAKhxAAACAA</t>
  </si>
  <si>
    <t>AACjYyNzI0LjY1MDMBDgAAAAUAAAACMTEBAAAAATACAAAABzE3NzkwOTEDAAAABjEwMDE4MAQAAAABMgYAAAABMwcAAAADMTYwCAAAAAEwCQAAAAExCgAAAAEwCwAAAAoxODgxMDE4ODc5DAAAAAIxMg0AAAAJMTIvMy8yMDEyEAAAAAkxMi8yLzIwMTIQzYKtc6bPCDP8nK1zps8IIENJUS5ORkxYLklRX01BUktFVENBUC4xMi8xMi8yMDEyAQAAAAx9AAACAAAACzQ3ODEuNTY0ODI3AQYAAAAFAAAAATEBAAAACjE1NzM4NjU0NzcDAAAAAzE2MAIAAAAGMTAwMDU0BAAAAAEwBwAAAAoxMi8xMS8yMDEysGuArXOmzwjzvqGtc6bPCCRDSVEuQ0NNTy5JUV9MQVNUU0FMRVBSSUNFLjEyLzEyLzIwMTIBAAAAYGoBAAIAAAADMy4yALBrgK1zps8I876hrXOmzwgkQ0lRLkVUTS5JUV9UT1RBTF9SRVYuMjAwMC4xMi8xMi8yMDEyAQAAAOYJBgACAAAABzM4MS45NjYBCAAAAAUAAAABMQEAAAAKMTU3NDA0MjY2MAMAAAADMTYwAgAAAAIyOAQAAAABMAcAAAAKMTIvMTIvMjAxMggAAAAJOS8zMC8yMDEyCQAAAAEwsGuArXOmzwiTXZ+tc6bPCCRDSVEuU0dBLklRX1RPVEFMX0NBUC4yMDAwLjEyLzEyLzIwMTIBAAAA2OgEAAIAAAAHMTYzLjk5NgEIAAAABQAAAAExAQAAAAoxNTc1NTc4MzQ5AwAAAAMxNjACAAAABDQxNzUEAAAAATAHAAAACjEyLzEyLzIwMTIIAAAACTkvMzAvMjAxMgkAAAABMLBrgK1zps8Ik12frXOmzwgdQ0lRL</t>
  </si>
  <si>
    <t>kRNRC5JUV9HUC4yMDAwLjEyLzEyLzIwMTIBAAAA8F4KAAIAAAAFMTg5LjUBCAAAAAUAAAABMQEAAAAKMTU3NTk1NTQ1OAMAAAADMTYwAgAAAAIxMAQAAAABMAcAAAAKMTIvMTIvMjAxMggAAAAJOS8zMC8yMDEyCQAAAAEwsGuArXOmzwiTXZ+tc6bPCBdDSVEuUC5JUV9URVYuMTIvMTIvMjAxMgEAAACFI2kAAgAAAAkxMjcxLjYwMTIBBgAAAAUAAAABMQEAAAAKMTU4MDAwNjc1NwMAAAADMTYwAgAAAAYxMDAwNjAEAAAAATAHAAAACjEyLzExLzIwMTKwa4Ctc6bPCFQgpK1zps8IHkNJUS5ORkxYLklRX0VTVF9SRVZfR1JPV1RIXzFZUgEAAAAMfQAAAgAAAAcxMi4zMTE0ABDNgq1zps8Ik12frXOmzwghQ0lRLlRWTC5JUV9SRVZFTlVFX0VTVC4uMTIvMi8yMDEyAQAAAHV4AAACAAAABjU1Mi4xMwEOAAAABQAAAAIxMQEAAAABMAIAAAAHMTc4NjAwMgMAAAAGMTAwMTgwBAAAAAEyBgAAAAEzBwAAAAMxNjAIAAAAATAJAAAAATEKAAAAATALAAAACjE3ODI2NzIwOTgMAAAAAjEyDQAAAAkxMi8zLzIwMTIQAAAACTEyLzIvMjAxMhDNgq1zps8IM/ycrXOmzwgiQ0lRLk5GTFguSVFfRUJJVERBLjIwMDAuMTIvMTIvMjAxMgEAAAAMfQAAAgAAAAcxNDYuNTU4AQgAAAAFAAAAATEBAAAACjE1NzM4ODc0NDMDAAAAAzE2MAIAAAAENDA1MQQAAAABMAcAAAAKMTIvMTIvMjAxMggAAAAJOS8zMC8yMDEyCQAAAAEwsGuArXOmzwiT</t>
  </si>
  <si>
    <t>XZ+tc6bPCBpDSVEuQ0NNTy5JUV9URVYuMTIvMTIvMjAxMgEAAABgagEAAgAAAAwyMDEyOS43NjMyNDEBBgAAAAUAAAABMQEAAAAKMTU3Mzg2MTI1MwMAAAADMTYwAgAAAAYxMDAwNjAEAAAAATAHAAAACjEyLzExLzIwMTKwa4Ctc6bPCPO+oa1zps8IH0NJUS5GQi5JUV9FQklUREFfRVNULi4xMi8yLzIwMTIBAAAAF9s8AQIAAAAJMzM3Mi4yODc0AQ4AAAAFAAAAAjExAQAAAAEwAgAAAAkxMzQ4OTE3NjgDAAAABjEwMDE4NwQAAAABMgYAAAABMwcAAAADMTYwCAAAAAEwCQAAAAExCgAAAAEwCwAAAAoxODY0OTEyMjA3DAAAAAIxMg0AAAAJMTIvMy8yMDEyEAAAAAkxMi8yLzIwMTIQzYKtc6bPCPO+oa1zps8IHkNJUS5ZSE9PLklRX0dQLjIwMDAuMTIvMTIvMjAxMgEAAACYZgEAAgAAAAgzNDIxLjczOQEIAAAABQAAAAExAQAAAAoxNTc1MjQ3ODk1AwAAAAMxNjACAAAAAjEwBAAAAAEwBwAAAAoxMi8xMi8yMDEyCAAAAAk5LzMwLzIwMTIJAAAAATCwa4Ctc6bPCDP8nK1zps8IIkNJUS5UUklQLklRX0VCSVREQS4yMDAwLjEyLzEyLzIwMTIBAAAAySMCAAIAAAAHMzA4LjAyNAEIAAAABQAAAAExAQAAAAoxNTc0NDY0MjQ3AwAAAAMxNjACAAAABDQwNTEEAAAAATAHAAAACjEyLzEyLzIwMTIIAAAACTkvMzAvMjAxMgkAAAABMBDNgq1zps8I876hrXOmzwglQ0lRLkNNTFMuSVFfVE9UQUxfQ0FQLjIwMDAuMTIvMTIvMjA</t>
  </si>
  <si>
    <t>xMgEAAABsagAAAgAAAAgzMDk0LjgyOAEIAAAABQAAAAExAQAAAAoxNTc0NjM0NDQyAwAAAAMxNjACAAAABDQxNzUEAAAAATAHAAAACjEyLzEyLzIwMTIIAAAACTkvMzAvMjAxMgkAAAABMLBrgK1zps8Ik12frXOmzwggQ0lRLlRWTC5JUV9FQklUREFfRVNULi4xMi8yLzIwMTIBAAAAdXgAAAIAAAAIMjEwLjYzMDUBDgAAAAUAAAACMTEBAAAAATACAAAABzE3ODYwMDIDAAAABjEwMDE4NwQAAAABMgYAAAABMwcAAAADMTYwCAAAAAEwCQAAAAExCgAAAAEwCwAAAAoxODk3NDQ0OTczDAAAAAIxMg0AAAAJMTIvMy8yMDEyEAAAAAkxMi8yLzIwMTIQzYKtc6bPCPO+oa1zps8IJUNJUS5UWk9PLklRX1RPVEFMX0NBUC4yMDAwLjEyLzEyLzIwMTIBAAAARLIsAAIAAAAGNDcuMTgzAQgAAAAFAAAAATEBAAAACjE1NzMwODQzMDEDAAAAAzE2MAIAAAAENDE3NQQAAAABMAcAAAAKMTIvMTIvMjAxMggAAAAJOS8zMC8yMDEyCQAAAAEwsGuArXOmzwiTXZ+tc6bPCB1DSVEuVFZMLklRX0dQLjIwMDAuMTIvMTIvMjAxMgEAAAB1eAAAAgAAAAczMjMuMTk2AQgAAAAFAAAAATEBAAAACjE1NzU1NzkxODQDAAAAAzE2MAIAAAACMTAEAAAAATAHAAAACjEyLzEyLzIwMTIIAAAACTkvMzAvMjAxMgkAAAABMLBrgK1zps8I876hrXOmzwgfQ0lRLkNCUy5JUV9NQVJLRVRDQVAuMTIvMTIvMjAxMgEAAAAfoqcBAgAAAAwyMjc3NC40NjUwOD</t>
  </si>
  <si>
    <t>IBBgAAAAUAAAABMQEAAAAKMTU3NDg4Nzk3MgMAAAADMTYwAgAAAAYxMDAwNTQEAAAAATAHAAAACjEyLzExLzIwMTKwa4Ctc6bPCPO+oa1zps8IIENJUS5BTVpOLklRX01BUktFVENBUC4xMi8xMi8yMDEyAQAAAD1JAAACAAAADDExMzU1Mi4yOTE3MQEGAAAABQAAAAExAQAAAAoxNTcyOTI1MzY1AwAAAAMxNjACAAAABjEwMDA1NAQAAAABMAcAAAAKMTIvMTEvMjAxMrBrgK1zps8I876hrXOmzwggQ0lRLkNNTFMuSVFfTUFSS0VUQ0FQLjEyLzEyLzIwMTIBAAAAbGoAAAIAAAAKNDE4LjU0MTQ5MQEGAAAABQAAAAExAQAAAAoxNTc0NjE0Mjg2AwAAAAMxNjACAAAABjEwMDA1NAQAAAABMAcAAAAKMTIvMTEvMjAxMrBrgK1zps8I876hrXOmzwgaQ0lRLk5YU1QuSVFfVEVWLjEyLzEyLzIwMTIBAAAA7ukHAAIAAAAKOTAxLjY2MDcxNAEGAAAABQAAAAExAQAAAAoxNTc1MzE4MTA0AwAAAAMxNjACAAAABjEwMDA2MAQAAAABMAcAAAAKMTIvMTEvMjAxMrBrgK1zps8Ik12frXOmzwgUQ0lRLkdPT0cuSVFfQkVUQV8yWVIBAAAAqHEAAAIAAAARMC45NzUyOTkxNjA5MDk4NzEAEM2CrXOmzwjzvqGtc6bPCB5DSVEuQ01MUy5JUV9FU1RfUkVWX0dST1dUSF8xWVIBAAAAbGoAAAIAAAAHLTQuOTcwMwAQzYKtc6bPCPO+oa1zps8IIUNJUS5FVE0uSVFfUkVWRU5VRV9FU1QuLjEyLzIvMjAxMgEAAADmCQYAAgAAAAYzOTEuNzkBD</t>
  </si>
  <si>
    <t>gAAAAUAAAACMTEBAAAAATACAAAABzM4NTE2NjYDAAAABjEwMDE4MAQAAAABMgYAAAABMwcAAAADMTYwCAAAAAEwCQAAAAExCgAAAAEwCwAAAAoxOTEyMzk4NjU4DAAAAAIxMg0AAAAJMTIvMy8yMDEyEAAAAAkxMi8yLzIwMTIQzYKtc6bPCJNdn61zps8IIENJUS5UWk9PLklRX0VCSVQuMjAwMC4xMi8xMi8yMDEyAQAAAESyLAACAAAABjMyLjMwNwEIAAAABQAAAAExAQAAAAoxNTczMDg0MzAxAwAAAAMxNjACAAAAAzQwMAQAAAABMAcAAAAKMTIvMTIvMjAxMggAAAAJOS8zMC8yMDEyCQAAAAEwEM2CrXOmzwjzvqGtc6bPCCBDSVEuRVRNLklRX0VCSVREQV9FU1QuLjEyLzIvMjAxMgEAAADmCQYAAgAAAAcxMTQuNDE4AQ4AAAAFAAAAAjExAQAAAAEwAgAAAAczODUxNjY2AwAAAAYxMDAxODcEAAAAATIGAAAAATMHAAAAAzE2MAgAAAABMAkAAAABMQoAAAABMAsAAAAKMTkwMzA2NzYxNwwAAAACMTINAAAACTEyLzMvMjAxMhAAAAAJMTIvMi8yMDEyEM2CrXOmzwjzvqGtc6bPCBpDSVEuWUVMUC5JUV9URVYuMTIvMTIvMjAxMgEAAADIvHYBAgAAAAsxMDk4LjYwNDE2MgEGAAAABQAAAAExAQAAAAoxNTc0MTI5NDUxAwAAAAMxNjACAAAABjEwMDA2MAQAAAABMAcAAAAKMTIvMTEvMjAxMrBrgK1zps8I876hrXOmzwghQ0lRLkNNTFMuSVFfRUJJVERBX0VTVC4uMTIvMi8yMDEyAQAAAGxqAAACAAAACDQyMi45NDA4AQ4A</t>
  </si>
  <si>
    <t>AAAFAAAAAjExAQAAAAEwAgAAAAcxNzcxMzQ0AwAAAAYxMDAxODcEAAAAATIGAAAAATMHAAAAAzE2MAgAAAABMAkAAAABMQoAAAABMAsAAAAKMTc5ODIyMjQyNAwAAAACMTINAAAACTEyLzMvMjAxMhAAAAAJMTIvMi8yMDEyEM2CrXOmzwjzvqGtc6bPCB5DSVEuR09PRy5JUV9HUC4yMDAwLjEyLzEyLzIwMTIBAAAAqHEAAAIAAAAFMjg1NDkBCAAAAAUAAAABMQEAAAAKMTU3MzY1NTE1MQMAAAADMTYwAgAAAAIxMAQAAAABMAcAAAAKMTIvMTIvMjAxMggAAAAJOS8zMC8yMDEyCQAAAAEwEM2CrXOmzwgz/Jytc6bPCB5DSVEuUC5JUV9FQklUREFfRVNULi4xMi8yLzIwMTIBAAAAhSNpAAIAAAAFNS4wMTkBDgAAAAUAAAACMTEBAAAAATACAAAACDMxODY1OTYwAwAAAAYxMDAxODcEAAAAATIGAAAAATMHAAAAAzE2MAgAAAABMAkAAAABMQoAAAABMAsAAAAKMTg5ODQxOTg2MAwAAAACMTINAAAACTEyLzMvMjAxMhAAAAAJMTIvMi8yMDEyEM2CrXOmzwjzvqGtc6bPCCVDSVEuQkxOWC5JUV9UT1RBTF9DQVAuMjAwMC4xMi8xMi8yMDEyAQAAACzUpQACAAAABzEyOC44MzgBCAAAAAUAAAABMQEAAAAKMTU3NjY5ODA5NwMAAAADMTYwAgAAAAQ0MTc1BAAAAAEwBwAAAAoxMi8xMi8yMDEyCAAAAAk5LzMwLzIwMTIJAAAAATCwa4Ctc6bPCPO+oa1zps8IJUNJUS5OWFNULklRX1RPVEFMX0NBUC4yMDAwLjEyLzEyLzIwMTIBAAA</t>
  </si>
  <si>
    <t>A7ukHAAIAAAAHNDU0Ljk3MQEIAAAABQAAAAExAQAAAAoxNTc1MzM2Mjc0AwAAAAMxNjACAAAABDQxNzUEAAAAATAHAAAACjEyLzEyLzIwMTIIAAAACTkvMzAvMjAxMgkAAAABMLBrgK1zps8I876hrXOmzwggQ0lRLlNJUkkuSVFfRUJJVC4yMDAwLjEyLzEyLzIwMTIBAAAAHnABAAIAAAAHODEzLjQwNAEIAAAABQAAAAExAQAAAAoxNTc0MDQxODA2AwAAAAMxNjACAAAAAzQwMAQAAAABMAcAAAAKMTIvMTIvMjAxMggAAAAJOS8zMC8yMDEyCQAAAAEwsGuArXOmzwjzvqGtc6bPCBRDSVEuRElBTC5JUV9CRVRBXzJZUgEAAACum3QAAgAAABAxLjE4MTg3MTkwNzk0NTE4ABDNgq1zps8Ik12frXOmzwgfQ0lRLlRWTC5JUV9FQklULjIwMDAuMTIvMTIvMjAxMgEAAAB1eAAAAgAAAAcxMjkuODc2AQgAAAAFAAAAATEBAAAACjE1NzU1NzkxODQDAAAAAzE2MAIAAAADNDAwBAAAAAEwBwAAAAoxMi8xMi8yMDEyCAAAAAk5LzMwLzIwMTIJAAAAATCwa4Ctc6bPCPO+oa1zps8IFENJUS5CTE5YLklRX0JFVEFfMllSAQAAACzUpQACAAAAEDEuNzYxNDc0NTgxODMxODYAEM2CrXOmzwjzvqGtc6bPCCBDSVEuTE5LRC5JUV9FQklULjIwMDAuMTIvMTIvMjAxMgEAAADDjnUAAgAAAAY0MC4xNzIBCAAAAAUAAAABMQEAAAAKMTU3NDA0MjQxOQMAAAADMTYwAgAAAAM0MDAEAAAAATAHAAAACjEyLzEyLzIwMTIIAAAACTkvMzAvMjAxMg</t>
  </si>
  <si>
    <t>kAAAABMBDNgq1zps8I876hrXOmzwggQ0lRLk5YU1QuSVFfRUJJVC4yMDAwLjEyLzEyLzIwMTIBAAAA7ukHAAIAAAAGODMuNDc1AQgAAAAFAAAAATEBAAAACjE1NzUzMzYyNzQDAAAAAzE2MAIAAAADNDAwBAAAAAEwBwAAAAoxMi8xMi8yMDEyCAAAAAk5LzMwLzIwMTIJAAAAATCwa4Ctc6bPCPO+oa1zps8IIENJUS5CTE5YLklRX01BUktFVENBUC4xMi8xMi8yMDEyAQAAACzUpQACAAAACjIyNC41MDk0MDIBBgAAAAUAAAABMQEAAAAKMTU3NjY4NjM1NQMAAAACNTUCAAAABjEwMDA1NAQAAAABMAcAAAAKMTIvMTIvMjAxMrBrgK1zps8Ik12frXOmzwgkQ0lRLkRJQUwuSVFfTEFTVFNBTEVQUklDRS4xMi8xMi8yMDEyAQAAAK6bdAACAAAABDAuMjIAsGuArXOmzwiTXZ+tc6bPCBRDSVEuTlhTVC5JUV9CRVRBXzJZUgEAAADu6QcAAgAAABAxLjU3ODc0ODAwMTk5NzM1ABDNgq1zps8IM/ycrXOmzwgeQ0lRLllFTFAuSVFfR1AuMjAwMC4xMi8xMi8yMDEyAQAAAMi8dgECAAAABzExMi41NTcBCAAAAAUAAAABMQEAAAAKMTU3NDE0ODQ0OAMAAAADMTYwAgAAAAIxMAQAAAABMAcAAAAKMTIvMTIvMjAxMggAAAAJOS8zMC8yMDEyCQAAAAEwEM2CrXOmzwgz/Jytc6bPCCRDSVEuVFJJUC5JUV9MQVNUU0FMRVBSSUNFLjEyLzEyLzIwMTIBAAAAySMCAAIAAAAFNDEuODEAsGuArXOmzwiTXZ+tc6bPCCFDSVEuTkZMWC5JUV9FQ</t>
  </si>
  <si>
    <t>klUREFfRVNULi4xMi8yLzIwMTIBAAAADH0AAAIAAAAIMTU1Ljc5OTQBDgAAAAUAAAACMTEBAAAAATACAAAABzE3OTA4NTYDAAAABjEwMDE4NwQAAAABMgYAAAABMwcAAAADMTYwCAAAAAEwCQAAAAExCgAAAAEwCwAAAAoxODY1MjEzMjgwDAAAAAIxMg0AAAAJMTIvMy8yMDEyEAAAAAkxMi8yLzIwMTIQzYKtc6bPCPO+oa1zps8IE0NJUS5TR0EuSVFfQkVUQV8yWVIBAAAA2OgEAAIAAAAQMS40MjgxODQ5ODU0NTk3NwAQzYKtc6bPCDP8nK1zps8IHkNJUS5DTUxTLklRX0dQLjIwMDAuMTIvMTIvMjAxMgEAAABsagAAAgAAAAc0MjguMzQ2AQgAAAAFAAAAATEBAAAACjE1NzQ2MzQ0NDIDAAAAAzE2MAIAAAACMTAEAAAAATAHAAAACjEyLzEyLzIwMTIIAAAACTkvMzAvMjAxMgkAAAABMLBrgK1zps8Ik12frXOmzwgUQ0lRLlRaT08uSVFfQkVUQV8yWVIBAAAARLIsAAIAAAAQMS42MTI5ODU3MjM0MjU0NAAQzYKtc6bPCPO+oa1zps8IIUNJUS5FVE0uSVFfRUJJVERBLjIwMDAuMTIvMTIvMjAxMgEAAADmCQYAAgAAAAcxMDQuMjM5AQgAAAAFAAAAATEBAAAACjE1NzQwNDI2NjADAAAAAzE2MAIAAAAENDA1MQQAAAABMAcAAAAKMTIvMTIvMjAxMggAAAAJOS8zMC8yMDEyCQAAAAEwsGuArXOmzwjzvqGtc6bPCB5DSVEuRElBTC5JUV9HUC4yMDAwLjEyLzEyLzIwMTIBAAAArpt0AAIAAAAGNzguMzQ0AQgAAAAFAAAAATEB</t>
  </si>
  <si>
    <t>AAAACjE1NzYwNTM4NzADAAAAAzE2MAIAAAACMTAEAAAAATAHAAAACjEyLzEyLzIwMTIIAAAACTkvMzAvMjAxMgkAAAABMLBrgK1zps8IM/ycrXOmzwgUQ0lRLkFNWk4uSVFfQkVUQV8yWVIBAAAAPUkAAAIAAAAPMS4zMTIzMzUzMjk0NjMyABDNgq1zps8Ik12frXOmzwgmQ0lRLkdPT0cuSVFfVE9UQUxfREVCVC4yMDAwLjEyLzEyLzIwMTIBAAAAqHEAAAIAAAAENzkwMAEIAAAABQAAAAExAQAAAAoxNTczNjU1MTUxAwAAAAMxNjACAAAABDQxNzMEAAAAATAHAAAACjEyLzEyLzIwMTIIAAAACTkvMzAvMjAxMgkAAAABMLBrgK1zps8IM/ycrXOmzwgaQ0lRLlRaT08uSVFfVEVWLjEyLzEyLzIwMTIBAAAARLIsAAIAAAAJMjMzLjAzOTQyAQYAAAAFAAAAATEBAAAACjE1NzMwNjE1MDMDAAAAAzE2MAIAAAAGMTAwMDYwBAAAAAEwBwAAAAoxMi8xMS8yMDEysGuArXOmzwiTXZ+tc6bPCBNDSVEuQ0JTLklRX0JFVEFfMllSAQAAAB+ipwECAAAAEDEuNTAwNzg2Mjg5ODUxOTgAEM2CrXOmzwiTXZ+tc6bPCCFDSVEuTE5LRC5JUV9FQklUREFfRVNULi4xMi8yLzIwMTIBAAAAw451AAIAAAAIMzAzLjc2MTgBDgAAAAUAAAACMTEBAAAAATACAAAACDMxODE0Mjc3AwAAAAYxMDAxODcEAAAAATIGAAAAATMHAAAAAzE2MAgAAAABMAkAAAABMQoAAAABMAsAAAAKMTg4MTY1MTcxNwwAAAACMTINAAAACTEyLzMvMjAxMhAAAAAJMTI</t>
  </si>
  <si>
    <t>vMi8yMDEyEM2CrXOmzwjzvqGtc6bPCCJDSVEuQkxOWC5JUV9FQklUREEuMjAwMC4xMi8xMi8yMDEyAQAAACzUpQACAAAABjE2LjQ5NgEIAAAABQAAAAExAQAAAAoxNTc2Njk4MDk3AwAAAAMxNjACAAAABDQwNTEEAAAAATAHAAAACjEyLzEyLzIwMTIIAAAACTkvMzAvMjAxMgkAAAABMLBrgK1zps8I876hrXOmzwgUQ0lRLkZTQ0kuSVFfQkVUQV8yWVIBAAAALe0FAAIAAAAQMS4wNDQ2MDk3Njc5NjI3NwAQzYKtc6bPCPO+oa1zps8IJkNJUS5DQ01PLklRX1RPVEFMX0RFQlQuMjAwMC4xMi8xMi8yMDEyAQAAAGBqAQACAAAACDIwODM5Ljk2AQgAAAAFAAAAATEBAAAACjE1NzM4NjE3NjIDAAAAAzE2MAIAAAAENDE3MwQAAAABMAcAAAAKMTIvMTIvMjAxMggAAAAJOS8zMC8yMDEyCQAAAAEwsGuArXOmzwhUIKStc6bPCCRDSVEuWUhPTy5JUV9MQVNUU0FMRVBSSUNFLjEyLzEyLzIwMTIBAAAAmGYBAAIAAAAHMTkuNDA5OQCwa4Ctc6bPCJNdn61zps8IIENJUS5HT09HLklRX0VCSVQuMjAwMC4xMi8xMi8yMDEyAQAAAKhxAAACAAAABTEzMzM5AQgAAAAFAAAAATEBAAAACjE1NzM2NTUxNTEDAAAAAzE2MAIAAAADNDAwBAAAAAEwBwAAAAoxMi8xMi8yMDEyCAAAAAk5LzMwLzIwMTIJAAAAATAQzYKtc6bPCPO+oa1zps8IIENJUS5ETUQuSVFfRUJJVERBX0VTVC4uMTIvMi8yMDEyAQAAAPBeCgACAAAACDExNi4yODAzAQ</t>
  </si>
  <si>
    <t>4AAAAFAAAAAjExAQAAAAEwAgAAAAgyOTUwNDAxNgMAAAAGMTAwMTg3BAAAAAEyBgAAAAEzBwAAAAMxNjAIAAAAATAJAAAAATEKAAAAATALAAAACjE4NDY5NzM3ODIMAAAAAjEyDQAAAAkxMi8zLzIwMTIQAAAACTEyLzIvMjAxMhDNgq1zps8I876hrXOmzwgdQ0lRLlRWTC5JUV9FU1RfUkVWX0dST1dUSF8xWVIBAAAAdXgAAAIAAAAHNDEuMzM4MQAQzYKtc6bPCDP8nK1zps8IH0NJUS5FVE0uSVFfTUFSS0VUQ0FQLjEyLzEyLzIwMTIBAAAA5gkGAAIAAAAKMjQ5LjE2NjY1NAEGAAAABQAAAAExAQAAAAoxNTc0MDI1OTA2AwAAAAMxNjACAAAABjEwMDA1NAQAAAABMAcAAAAKMTIvMTEvMjAxMrBrgK1zps8I876hrXOmzwglQ0lRLk5GTFguSVFfVE9UQUxfQ0FQLjIwMDAuMTIvMTIvMjAxMgEAAAAMfQAAAgAAAAcxMTE2Ljg0AQgAAAAFAAAAATEBAAAACjE1NzM4ODc0NDMDAAAAAzE2MAIAAAAENDE3NQQAAAABMAcAAAAKMTIvMTIvMjAxMggAAAAJOS8zMC8yMDEyCQAAAAEwsGuArXOmzwjzvqGtc6bPCCZDSVEuUk9JQS5LLklRX0xBU1RTQUxFUFJJQ0UuMTIvMTIvMjAxMgEAAAAmgwAAAgAAAAQwLjczALBrgK1zps8IVCCkrXOmzwgfQ0lRLkNNTFMuSVFfWUVBUkhJR0guMTIvMTIvMjAxMgEAAABsagAAAgAAAAQzLjk1ALBrgK1zps8Ik12frXOmzwglQ0lRLkNNTFMuSVFfVE9UQUxfUkVWLjIwMDAuMTIvMTIvMjAxM</t>
  </si>
  <si>
    <t>gEAAABsagAAAgAAAAgxMTAzLjIzMwEIAAAABQAAAAExAQAAAAoxNTc0NjM0NDQyAwAAAAMxNjACAAAAAjI4BAAAAAEwBwAAAAoxMi8xMi8yMDEyCAAAAAk5LzMwLzIwMTIJAAAAATCwa4Ctc6bPCPO+oa1zps8IIkNJUS5DTUxTLklRX0VCSVREQS4yMDAwLjEyLzEyLzIwMTIBAAAAbGoAAAIAAAAHNDExLjcyMwEIAAAABQAAAAExAQAAAAoxNTc0NjM0NDQyAwAAAAMxNjACAAAABDQwNTEEAAAAATAHAAAACjEyLzEyLzIwMTIIAAAACTkvMzAvMjAxMgkAAAABMLBrgK1zps8IVCCkrXOmzwgaQ0lRLkJMTlguSVFfVEVWLjEyLzEyLzIwMTIBAAAALNSlAAIAAAAKMTk4LjY5MDI1MgEGAAAABQAAAAExAQAAAAoxNTc2Njg2MzU1AwAAAAI1NQIAAAAGMTAwMDYwBAAAAAEwBwAAAAoxMi8xMi8yMDEysGuArXOmzwiTXZ+tc6bPCCFDSVEuUC5JUV9MQVNUU0FMRVBSSUNFLjEyLzEyLzIwMTIBAAAAhSNpAAIAAAAEOC4xOACwa4Ctc6bPCPO+oa1zps8II0NJUS5QLklRX1RPVEFMX0RFQlQuMjAwMC4xMi8xMi8yMDEyAQAAAIUjaQACAAAAATABCAAAAAUAAAABMQEAAAAKMTU4MDAwNjc4MwMAAAADMTYwAgAAAAQ0MTczBAAAAAEwBwAAAAoxMi8xMi8yMDEyCAAAAAoxMC8zMS8yMDEyCQAAAAEwsGuArXOmzwgz/Jytc6bPCB5DSVEuWUhPTy5JUV9FU1RfUkVWX0dST1dUSF8xWVIBAAAAmGYBAAIAAAAGMi41NjMzABDNgq1zps8I</t>
  </si>
  <si>
    <t>k12frXOmzwggQ0lRLkZTQ0kuSVFfTUFSS0VUQ0FQLjEyLzEyLzIwMTIBAAAALe0FAAIAAAAJMjI0LjM4NTI4AQYAAAAFAAAAATEBAAAACjE1NzUyMzI2NzcDAAAAAzE2MAIAAAAGMTAwMDU0BAAAAAEwBwAAAAoxMi8xMS8yMDEysGuArXOmzwjzvqGtc6bPCB9DSVEuVFZMLklRX01BUktFVENBUC4xMi8xMi8yMDEyAQAAAHV4AAACAAAACjQxMi42NzIwOTUBBgAAAAUAAAABMQEAAAAKMTU3NTU1NzA3OQMAAAADMTYwAgAAAAYxMDAwNTQEAAAAATAHAAAACjEyLzExLzIwMTKwa4Ctc6bPCPO+oa1zps8IGkNJUS5UUklQLklRX1RFVi4xMi8xMi8yMDEyAQAAAMkjAgACAAAACzU3MDQuMDQ4MjIxAQYAAAAFAAAAATEBAAAACjE1NzQ0MzgzODIDAAAAAzE2MAIAAAAGMTAwMDYwBAAAAAEwBwAAAAoxMi8xMS8yMDEysGuArXOmzwhUIKStc6bPCCVDSVEuWUVMUC5JUV9UT1RBTF9SRVYuMjAwMC4xMi8xMi8yMDEyAQAAAMi8dgECAAAABzEyMS4zMTUBCAAAAAUAAAABMQEAAAAKMTU3NDE0ODQ0OAMAAAADMTYwAgAAAAIyOAQAAAABMAcAAAAKMTIvMTIvMjAxMggAAAAJOS8zMC8yMDEyCQAAAAEwEM2CrXOmzwjzvqGtc6bPCCVDSVEuQ0NNTy5JUV9UT1RBTF9SRVYuMjAwMC4xMi8xMi8yMDEyAQAAAGBqAQACAAAACDYyMDMuMzM2AQgAAAAFAAAAATEBAAAACjE1NzM4NjE3NjIDAAAAAzE2MAIAAAACMjgEAAAAATAHAAAACjE</t>
  </si>
  <si>
    <t>yLzEyLzIwMTIIAAAACTkvMzAvMjAxMgkAAAABMLBrgK1zps8I876hrXOmzwggQ0lRLkNNTFMuSVFfRUJJVC4yMDAwLjEyLzEyLzIwMTIBAAAAbGoAAAIAAAAHMjY3LjY2MQEIAAAABQAAAAExAQAAAAoxNTc0NjM0NDQyAwAAAAMxNjACAAAAAzQwMAQAAAABMAcAAAAKMTIvMTIvMjAxMggAAAAJOS8zMC8yMDEyCQAAAAEwsGuArXOmzwjzvqGtc6bPCBpDSVEuR09PRy5JUV9URVYuMTIvMTIvMjAxMgEAAACocQAAAgAAAAwxOTIyNjYuNzIwNTIBBgAAAAUAAAABMQEAAAAKMTU3MzY0MjUwNwMAAAADMTYwAgAAAAYxMDAwNjAEAAAAATAHAAAACjEyLzExLzIwMTKwa4Ctc6bPCFQgpK1zps8IIkNJUS5HT09HLklRX0VCSVREQS4yMDAwLjEyLzEyLzIwMTIBAAAAqHEAAAIAAAAFMTU4NTEBCAAAAAUAAAABMQEAAAAKMTU3MzY1NTE1MQMAAAADMTYwAgAAAAQ0MDUxBAAAAAEwBwAAAAoxMi8xMi8yMDEyCAAAAAk5LzMwLzIwMTIJAAAAATAQzYKtc6bPCJNdn61zps8IJUNJUS5GU0NJLklRX1RPVEFMX1JFVi4yMDAwLjEyLzEyLzIwMTIBAAAALe0FAAIAAAAHMTYyLjQ2MwEIAAAABQAAAAExAQAAAAoxNTc1MjQ3NzM2AwAAAAMxNjACAAAAAjI4BAAAAAEwBwAAAAoxMi8xMi8yMDEyCAAAAAk5LzMwLzIwMTIJAAAAATCwa4Ctc6bPCPO+oa1zps8IIENJUS5BTVpOLklRX0VCSVQuMjAwMC4xMi8xMi8yMDEyAQAAAD1JAAACAA</t>
  </si>
  <si>
    <t>AAAzUzMQEIAAAABQAAAAExAQAAAAoxNTcyOTQ3OTIzAwAAAAMxNjACAAAAAzQwMAQAAAABMAcAAAAKMTIvMTIvMjAxMggAAAAJOS8zMC8yMDEyCQAAAAEwsGuArXOmzwjzvqGtc6bPCBNDSVEuRE1ELklRX0JFVEFfMllSAQAAAPBeCgACAAAAEDEuMTIzNzA1ODU3MjMyNDEAEM2CrXOmzwjzvqGtc6bPCCFDSVEuRE1ELklRX1JFVkVOVUVfRVNULi4xMi8yLzIwMTIBAAAA8F4KAAIAAAAINDE0LjY0NjkBDgAAAAUAAAACMTEBAAAAATACAAAACDI5NTA0MDE2AwAAAAYxMDAxODAEAAAAATIGAAAAATMHAAAAAzE2MAgAAAABMAkAAAABMQoAAAABMAsAAAAKMTg5NTk1MDc4MgwAAAACMTINAAAACTEyLzMvMjAxMhAAAAAJMTIvMi8yMDEyEM2CrXOmzwgz/Jytc6bPCCBDSVEuQ0NNTy5JUV9NQVJLRVRDQVAuMTIvMTIvMjAxMgEAAABgagEAAgAAAAoyNzkuMjc1MjQyAQYAAAAFAAAAATEBAAAACjE1NzM4NjEyNTMDAAAAAzE2MAIAAAAGMTAwMDU0BAAAAAEwBwAAAAoxMi8xMS8yMDEysGuArXOmzwjzvqGtc6bPCB1DSVEuRE1ELklRX0VTVF9SRVZfR1JPV1RIXzFZUgEAAADwXgoAAgAAAAcxNC42MTgxABDNgq1zps8I876hrXOmzwglQ0lRLllFTFAuSVFfVE9UQUxfQ0FQLjIwMDAuMTIvMTIvMjAxMgEAAADIvHYBAgAAAAcxNDIuOTU2AQgAAAAFAAAAATEBAAAACjE1NzQxNDg0NDgDAAAAAzE2MAIAAAAENDE3NQQAAAABM</t>
  </si>
  <si>
    <t>AcAAAAKMTIvMTIvMjAxMggAAAAJOS8zMC8yMDEyCQAAAAEwsGuArXOmzwiTXZ+tc6bPCBxDSVEuUk9JQS5LLklRX1RFVi4xMi8xMi8yMDEyAQAAACaDAAACAAAACjEwMzcuNDQyMzQBBgAAAAUAAAABMQEAAAAKMTU3Njg4MTY5NQMAAAADMTYwAgAAAAYxMDAwNjAEAAAAATAHAAAACjEyLzExLzIwMTKwa4Ctc6bPCJNdn61zps8IIENJUS5GU0NJLklRX0VCSVQuMjAwMC4xMi8xMi8yMDEyAQAAAC3tBQACAAAABjE4LjkxNwEIAAAABQAAAAExAQAAAAoxNTc1MjQ3NzM2AwAAAAMxNjACAAAAAzQwMAQAAAABMAcAAAAKMTIvMTIvMjAxMggAAAAJOS8zMC8yMDEyCQAAAAEwsGuArXOmzwjzvqGtc6bPCBpDSVEuTE5LRC5JUV9URVYuMTIvMTIvMjAxMgEAAADDjnUAAgAAAAwxMTUxMy4zOTY1MTQBBgAAAAUAAAABMQEAAAAKMTU3NDAyNjMyOAMAAAADMTYwAgAAAAYxMDAwNjAEAAAAATAHAAAACjEyLzExLzIwMTKwa4Ctc6bPCDP8nK1zps8IIENJUS5ZSE9PLklRX01BUktFVENBUC4xMi8xMi8yMDEyAQAAAJhmAQACAAAACzIzMDg2LjA2OTc2AQYAAAAFAAAAATEBAAAACjE1NzUyMzE3MzYDAAAAAzE2MAIAAAAGMTAwMDU0BAAAAAEwBwAAAAoxMi8xMS8yMDEysGuArXOmzwiTXZ+tc6bPCBRDSVEuU0lSSS5JUV9CRVRBXzJZUgEAAAAecAEAAgAAABAxLjAxNDE1MjY1NjA2NDI5ABDNgq1zps8IM/ycrXOmzwggQ0lRLllF</t>
  </si>
  <si>
    <t>TFAuSVFfTUFSS0VUQ0FQLjEyLzEyLzIwMTIBAAAAyLx2AQIAAAALMTIyMS42ODcxNjMBBgAAAAUAAAABMQEAAAAKMTU3NDEyOTQ1MQMAAAADMTYwAgAAAAYxMDAwNTQEAAAAATAHAAAACjEyLzExLzIwMTKwa4Ctc6bPCPO+oa1zps8IIUNJUS5OWFNULklRX0VCSVREQV9FU1QuLjEyLzIvMjAxMgEAAADu6QcAAgAAAAUxNDMuNgEOAAAABQAAAAIxMQEAAAABMAIAAAAHMjAwMTA1NgMAAAAGMTAwMTg3BAAAAAEyBgAAAAEzBwAAAAMxNjAIAAAAATAJAAAAATEKAAAAATALAAAACjE3OTk5NDU0MTUMAAAAAjEyDQAAAAkxMi8zLzIwMTIQAAAACTEyLzIvMjAxMhDNgq1zps8I876hrXOmzwgiQ0lRLlNJUkkuSVFfRUJJVERBLjIwMDAuMTIvMTIvMjAxMgEAAAAecAEAAgAAAAYxMDc5LjkBCAAAAAUAAAABMQEAAAAKMTU3NDA0MTgwNgMAAAADMTYwAgAAAAQ0MDUxBAAAAAEwBwAAAAoxMi8xMi8yMDEyCAAAAAk5LzMwLzIwMTIJAAAAATCwa4Ctc6bPCPO+oa1zps8IJENJUS5MTktELklRX0xBU1RTQUxFUFJJQ0UuMTIvMTIvMjAxMgEAAADDjnUAAgAAAAMxMTQAsGuArXOmzwgz/Jytc6bPCB5DSVEuR09PRy5JUV9FU1RfUkVWX0dST1dUSF8xWVIBAAAAqHEAAAIAAAAHMzguNTgyMQAQzYKtc6bPCJNdn61zps8IH0NJUS5TR0EuSVFfTUFSS0VUQ0FQLjEyLzEyLzIwMTIBAAAA2OgEAAIAAAAKMTk3LjI4MDc3NgEGAAAABQA</t>
  </si>
  <si>
    <t>AAAExAQAAAAoxNTc1NTU3OTg0AwAAAAMxNjACAAAABjEwMDA1NAQAAAABMAcAAAAKMTIvMTEvMjAxMrBrgK1zps8I876hrXOmzwgZQ0lRLkRNRC5JUV9URVYuMTIvMTIvMjAxMgEAAADwXgoAAgAAAAg2NjIuMjQwMgEGAAAABQAAAAExAQAAAAoxNTc1OTMyMDM2AwAAAAMxNjACAAAABjEwMDA2MAQAAAABMAcAAAAKMTIvMTEvMjAxMrBrgK1zps8Ik12frXOmzwgiQ0lRLkNDTU8uSVFfUkVWRU5VRV9FU1QuLjEyLzIvMjAxMgEAAABgagEAAgAAAAc2MjMyLjg1AQ4AAAAFAAAAAjExAQAAAAEwAgAAAAcxODE0MDg5AwAAAAYxMDAxODAEAAAAATIGAAAAATMHAAAAAzE2MAgAAAABMAkAAAABMQoAAAABMAsAAAAKMTc2MjY1MTg5MwwAAAACMTINAAAACTEyLzMvMjAxMhAAAAAJMTIvMi8yMDEyEM2CrXOmzwiTXZ+tc6bPCB9DSVEuRlNDSS5JUV9ZRUFSSElHSC4xMi8xMi8yMDEyAQAAAC3tBQACAAAABTM3LjQ0ALBrgK1zps8IM/ycrXOmzwgmQ0lRLkZTQ0kuSVFfVE9UQUxfREVCVC4yMDAwLjEyLzEyLzIwMTIBAAAALe0FAAIAAAABMAEIAAAABQAAAAExAQAAAAoxNTc1MjQ3NzM2AwAAAAMxNjACAAAABDQxNzMEAAAAATAHAAAACjEyLzEyLzIwMTIIAAAACTkvMzAvMjAxMgkAAAABMLBrgK1zps8Ik12frXOmzwgeQ0lRLkFNWk4uSVFfRVNUX1JFVl9HUk9XVEhfMVlSAQAAAD1JAAACAAAABjI5LjA4NQAQzYKtc6bPCD</t>
  </si>
  <si>
    <t>P8nK1zps8IJUNJUS5MTktELklRX1RPVEFMX0NBUC4yMDAwLjEyLzEyLzIwMTIBAAAAw451AAIAAAAHODI5LjA2MgEIAAAABQAAAAExAQAAAAoxNTc0MDQyNDE5AwAAAAMxNjACAAAABDQxNzUEAAAAATAHAAAACjEyLzEyLzIwMTIIAAAACTkvMzAvMjAxMgkAAAABMLBrgK1zps8Ik12frXOmzwghQ0lRLlNHQS5JUV9SRVZFTlVFX0VTVC4uMTIvMi8yMDEyAQAAANjoBAACAAAABjEzMC4yNQEOAAAABQAAAAIxMQEAAAABMAIAAAAHMjY2MDM0OQMAAAAGMTAwMTgwBAAAAAEyBgAAAAEzBwAAAAMxNjAIAAAAATAJAAAAATEKAAAAATALAAAACjE4NzAzNTQwMzEMAAAAAjEyDQAAAAkxMi8zLzIwMTIQAAAACTEyLzIvMjAxMhDNgq1zps8IVCCkrXOmzwglQ0lRLlRWTC5JUV9UT1RBTF9ERUJULjIwMDAuMTIvMTIvMjAxMgEAAAB1eAAAAgAAAAY1ODAuOTMBCAAAAAUAAAABMQEAAAAKMTU3NTU3OTE4NAMAAAADMTYwAgAAAAQ0MTczBAAAAAEwBwAAAAoxMi8xMi8yMDEyCAAAAAk5LzMwLzIwMTIJAAAAATCwa4Ctc6bPCDP8nK1zps8IIkNJUS5ZRUxQLklRX1JFVkVOVUVfRVNULi4xMi8yLzIwMTIBAAAAyLx2AQIAAAAHMTg5Ljk2NAEOAAAABQAAAAIxMQEAAAABMAIAAAAJMTIwOTQzODY4AwAAAAYxMDAxODAEAAAAATIGAAAAATMHAAAAAzE2MAgAAAABMAkAAAABMQoAAAABMAsAAAAKMTk2MDQyOTExOQwAAAACMTINAAAAC</t>
  </si>
  <si>
    <t>TEyLzMvMjAxMhAAAAAJMTIvMi8yMDEyEM2CrXOmzwiTXZ+tc6bPCB9DSVEuU0dBLklRX0VCSVQuMjAwMC4xMi8xMi8yMDEyAQAAANjoBAACAAAABjI5LjQ2OAEIAAAABQAAAAExAQAAAAoxNTc1NTc4MzQ5AwAAAAMxNjACAAAAAzQwMAQAAAABMAcAAAAKMTIvMTIvMjAxMggAAAAJOS8zMC8yMDEyCQAAAAEwsGuArXOmzwiTXZ+tc6bPCB9DSVEuVFpPTy5JUV9ZRUFSSElHSC4xMi8xMi8yMDEyAQAAAESyLAACAAAABTMxLjY2ALBrgK1zps8IM/ycrXOmzwggQ0lRLkJMTlguSVFfRUJJVC4yMDAwLjEyLzEyLzIwMTIBAAAALNSlAAIAAAAFOC4yNTYBCAAAAAUAAAABMQEAAAAKMTU3NjY5ODA5NwMAAAADMTYwAgAAAAM0MDAEAAAAATAHAAAACjEyLzEyLzIwMTIIAAAACTkvMzAvMjAxMgkAAAABMLBrgK1zps8I876hrXOmzwgeQ0lRLkVUTS5JUV9ZRUFSSElHSC4xMi8xMi8yMDEyAQAAAOYJBgACAAAABDguNjQAsGuArXOmzwgz/Jytc6bPCCZDSVEuWUhPTy5JUV9UT1RBTF9ERUJULjIwMDAuMTIvMTIvMjAxMgEAAACYZgEAAgAAAAYzOC4yMjMBCAAAAAUAAAABMQEAAAAKMTU3NTI0Nzg5NQMAAAADMTYwAgAAAAQ0MTczBAAAAAEwBwAAAAoxMi8xMi8yMDEyCAAAAAk5LzMwLzIwMTIJAAAAATCwa4Ctc6bPCFQgpK1zps8IIkNJUS5DTUxTLklRX1JFVkVOVUVfRVNULi4xMi8yLzIwMTIBAAAAbGoAAAIAAAAJMTEwMi43</t>
  </si>
  <si>
    <t>NzY0AQ4AAAAFAAAAAjExAQAAAAEwAgAAAAcxNzcxMzQ0AwAAAAYxMDAxODAEAAAAATIGAAAAATMHAAAAAzE2MAgAAAABMAkAAAABMQoAAAABMAsAAAAKMTgzNTQwNjgzOAwAAAACMTINAAAACTEyLzMvMjAxMhAAAAAJMTIvMi8yMDEyEM2CrXOmzwiTXZ+tc6bPCB9DSVEuRVRNLklRX0VCSVQuMjAwMC4xMi8xMi8yMDEyAQAAAOYJBgACAAAABjk0LjAxNAEIAAAABQAAAAExAQAAAAoxNTc0MDQyNjYwAwAAAAMxNjACAAAAAzQwMAQAAAABMAcAAAAKMTIvMTIvMjAxMggAAAAJOS8zMC8yMDEyCQAAAAEwsGuArXOmzwjzvqGtc6bPCCJDSVEuRElBTC5JUV9FQklUREEuMjAwMC4xMi8xMi8yMDEyAQAAAK6bdAACAAAABjE4LjI5MwEIAAAABQAAAAExAQAAAAoxNTc2MDUzODcwAwAAAAMxNjACAAAABDQwNTEEAAAAATAHAAAACjEyLzEyLzIwMTIIAAAACTkvMzAvMjAxMgkAAAABMLBrgK1zps8Ik12frXOmzwgaQ0lRLkZTQ0kuSVFfVEVWLjEyLzEyLzIwMTIBAAAALe0FAAIAAAAJMTIwLjUzNzI4AQYAAAAFAAAAATEBAAAACjE1NzUyMzI2NzcDAAAAAzE2MAIAAAAGMTAwMDYwBAAAAAEwBwAAAAoxMi8xMS8yMDEysGuArXOmzwiTXZ+tc6bPCCNDSVEuU0dBLklRX0xBU1RTQUxFUFJJQ0UuMTIvMTIvMjAxMgEAAADY6AQAAgAAAAQ0Ny42ALBrgK1zps8Ik12frXOmzwgeQ0lRLkZTQ0kuSVFfR1AuMjAwMC4xMi8xMi8yMDE</t>
  </si>
  <si>
    <t>yAQAAAC3tBQACAAAABTk1LjgxAQgAAAAFAAAAATEBAAAACjE1NzUyNDc3MzYDAAAAAzE2MAIAAAACMTAEAAAAATAHAAAACjEyLzEyLzIwMTIIAAAACTkvMzAvMjAxMgkAAAABMLBrgK1zps8Ik12frXOmzwgjQ0lRLkNCUy5JUV9MQVNUU0FMRVBSSUNFLjEyLzEyLzIwMTIBAAAAH6KnAQIAAAAFMzYuNDQAsGuArXOmzwhUIKStc6bPCB5DSVEuQ0NNTy5JUV9HUC4yMDAwLjEyLzEyLzIwMTIBAAAAYGoBAAIAAAAIMzczMC4zOTIBCAAAAAUAAAABMQEAAAAKMTU3Mzg2MTc2MgMAAAADMTYwAgAAAAIxMAQAAAABMAcAAAAKMTIvMTIvMjAxMggAAAAJOS8zMC8yMDEyCQAAAAEwsGuArXOmzwiTXZ+tc6bPCB9DSVEuWUhPTy5JUV9ZRUFSSElHSC4xMi8xMi8yMDEyAQAAAJhmAQACAAAABTE5LjYzALBrgK1zps8I876hrXOmzwghQ0lRLkNCUy5JUV9SRVZFTlVFX0VTVC4uMTIvMi8yMDEyAQAAAB+ipwECAAAACjE1NTIyLjg2MjgBDgAAAAUAAAACMTEBAAAAATACAAAABzI2MjQwODIDAAAABjEwMDE4MAQAAAABMgYAAAABMwcAAAADMTYwCAAAAAEwCQAAAAExCgAAAAEwCwAAAAoxODg4NDMyNzU3DAAAAAIxMg0AAAAJMTIvMy8yMDEyEAAAAAkxMi8yLzIwMTIQzYKtc6bPCDP8nK1zps8IHkNJUS5MTktELklRX0VTVF9SRVZfR1JPV1RIXzFZUgEAAADDjnUAAgAAAAc4MS42MTg4ABDNgq1zps8Ik12frXOmzwghQ0lRLlNHQS</t>
  </si>
  <si>
    <t>5JUV9FQklUREEuMjAwMC4xMi8xMi8yMDEyAQAAANjoBAACAAAABjM2LjgwMQEIAAAABQAAAAExAQAAAAoxNTc1NTc4MzQ5AwAAAAMxNjACAAAABDQwNTEEAAAAATAHAAAACjEyLzEyLzIwMTIIAAAACTkvMzAvMjAxMgkAAAABMLBrgK1zps8I876hrXOmzwghQ0lRLkRNRC5JUV9FQklUREEuMjAwMC4xMi8xMi8yMDEyAQAAAPBeCgACAAAABjY1LjIxMwEIAAAABQAAAAExAQAAAAoxNTc1OTU1NDU4AwAAAAMxNjACAAAABDQwNTEEAAAAATAHAAAACjEyLzEyLzIwMTIIAAAACTkvMzAvMjAxMgkAAAABMLBrgK1zps8Ik12frXOmzwgmQ0lRLlRSSVAuSVFfVE9UQUxfREVCVC4yMDAwLjEyLzEyLzIwMTIBAAAAySMCAAIAAAAHNDE0LjQ4MwEIAAAABQAAAAExAQAAAAoxNTc0NDY0MjQ3AwAAAAMxNjACAAAABDQxNzMEAAAAATAHAAAACjEyLzEyLzIwMTIIAAAACTkvMzAvMjAxMgkAAAABMLBrgK1zps8IM/ycrXOmzwglQ0lRLlRaT08uSVFfVE9UQUxfUkVWLjIwMDAuMTIvMTIvMjAxMgEAAABEsiwAAgAAAAcxNDkuMjk2AQgAAAAFAAAAATEBAAAACjE1NzMwODQzMDEDAAAAAzE2MAIAAAACMjgEAAAAATAHAAAACjEyLzEyLzIwMTIIAAAACTkvMzAvMjAxMgkAAAABMBDNgq1zps8I876hrXOmzwgkQ0lRLkRNRC5JUV9UT1RBTF9DQVAuMjAwMC4xMi8xMi8yMDEyAQAAAPBeCgACAAAABjQ2OS4zNgEIAAAABQAAAAExAQAAA</t>
  </si>
  <si>
    <t>AoxNTc1OTU1NDU4AwAAAAMxNjACAAAABDQxNzUEAAAAATAHAAAACjEyLzEyLzIwMTIIAAAACTkvMzAvMjAxMgkAAAABMLBrgK1zps8I876hrXOmzwgUQ0lRLllIT08uSVFfQkVUQV8yWVIBAAAAmGYBAAIAAAARMC43ODY1Njk5ODM1MTU5MDMAEM2CrXOmzwgz/Jytc6bPCCBDSVEuUk9JQS5LLklRX0dQLjIwMDAuMTIvMTIvMjAxMgEAAAAmgwAAAgAAAAcyODcuNTI4AQgAAAAFAAAAATEBAAAACjE1NzY4OTcxNjMDAAAAAzE2MAIAAAACMTAEAAAAATAHAAAACjEyLzEyLzIwMTIIAAAACTkvMzAvMjAxMgkAAAABMLBrgK1zps8IM/ycrXOmzwgkQ0lRLlNJUkkuSVFfTEFTVFNBTEVQUklDRS4xMi8xMi8yMDEyAQAAAB5wAQACAAAABDIuNzYAsGuArXOmzwiTXZ+tc6bPCBRDSVEuTkZMWC5JUV9CRVRBXzJZUgEAAAAMfQAAAgAAABEwLjgzMDU2NDk2NzAwOTg5NwAQzYKtc6bPCPO+oa1zps8IIENJUS5ESUFMLklRX0VCSVQuMjAwMC4xMi8xMi8yMDEyAQAAAK6bdAACAAAABi01LjExOAEIAAAABQAAAAExAQAAAAoxNTc2MDUzODcwAwAAAAMxNjACAAAAAzQwMAQAAAABMAcAAAAKMTIvMTIvMjAxMggAAAAJOS8zMC8yMDEyCQAAAAEwsGuArXOmzwjzvqGtc6bPCCVDSVEuWUhPTy5JUV9UT1RBTF9DQVAuMjAwMC4xMi8xMi8yMDEyAQAAAJhmAQACAAAACTE1NjQzLjc0NAEIAAAABQAAAAExAQAAAAoxNTc1MjQ3ODk1AwAA</t>
  </si>
  <si>
    <t>AAMxNjACAAAABDQxNzUEAAAAATAHAAAACjEyLzEyLzIwMTIIAAAACTkvMzAvMjAxMgkAAAABMLBrgK1zps8I876hrXOmzwgaQ0lRLllIT08uSVFfVEVWLjEyLzEyLzIwMTIBAAAAmGYBAAIAAAALMTQ3NTUuMDk0NzYBBgAAAAUAAAABMQEAAAAKMTU3NTIzMTczNgMAAAADMTYwAgAAAAYxMDAwNjAEAAAAATAHAAAACjEyLzExLzIwMTKwa4Ctc6bPCPO+oa1zps8IEUNJUS5QLklRX0JFVEFfMllSAQAAAIUjaQACAAAADzEuMTY2Njk5MjY0MTg3OQAQzYKtc6bPCJNdn61zps8IJUNJUS5CTE5YLklRX1RPVEFMX1JFVi4yMDAwLjEyLzEyLzIwMTIBAAAALNSlAAIAAAAHMTUxLjc5OQEIAAAABQAAAAExAQAAAAoxNTc2Njk4MDk3AwAAAAMxNjACAAAAAjI4BAAAAAEwBwAAAAoxMi8xMi8yMDEyCAAAAAk5LzMwLzIwMTIJAAAAATCwa4Ctc6bPCPO+oa1zps8IJ0NJUS5ST0lBLksuSVFfVE9UQUxfQ0FQLjIwMDAuMTIvMTIvMjAxMgEAAAAmgwAAAgAAAAgxMjAzLjgyMQEIAAAABQAAAAExAQAAAAoxNTc2ODk3MTYzAwAAAAMxNjACAAAABDQxNzUEAAAAATAHAAAACjEyLzEyLzIwMTIIAAAACTkvMzAvMjAxMgkAAAABMLBrgK1zps8I876hrXOmzwgfQ0lRLkxOS0QuSVFfWUVBUkhJR0guMTIvMTIvMjAxMgEAAADDjnUAAgAAAAUxMjUuNQCwa4Ctc6bPCPO+oa1zps8IHUNJUS5FVE0uSVFfR1AuMjAwMC4xMi8xMi8yMDEyAQA</t>
  </si>
  <si>
    <t>AAOYJBgACAAAABzEzMC4zNjUBCAAAAAUAAAABMQEAAAAKMTU3NDA0MjY2MAMAAAADMTYwAgAAAAIxMAQAAAABMAcAAAAKMTIvMTIvMjAxMggAAAAJOS8zMC8yMDEyCQAAAAEwsGuArXOmzwiTXZ+tc6bPCCJDSVEuWUVMUC5JUV9FQklUREEuMjAwMC4xMi8xMi8yMDEyAQAAAMi8dgECAAAABy0xMS4zMDkBCAAAAAUAAAABMQEAAAAKMTU3NDE0ODQ0OAMAAAADMTYwAgAAAAQ0MDUxBAAAAAEwBwAAAAoxMi8xMi8yMDEyCAAAAAk5LzMwLzIwMTIJAAAAATAQzYKtc6bPCFQgpK1zps8IIUNJUS5TSVJJLklRX0VCSVREQV9FU1QuLjEyLzIvMjAxMgEAAAAecAEAAgAAAAkxMDk5Ljk1OTkBDgAAAAUAAAACMTEBAAAAATACAAAABzE4MTY1MTQDAAAABjEwMDE4NwQAAAABMgYAAAABMwcAAAADMTYwCAAAAAEwCQAAAAExCgAAAAEwCwAAAAoxOTE0Mjk2MTExDAAAAAIxMg0AAAAJMTIvMy8yMDEyEAAAAAkxMi8yLzIwMTIQzYKtc6bPCPO+oa1zps8IJUNJUS5TSVJJLklRX1RPVEFMX1JFVi4yMDAwLjEyLzEyLzIwMTIBAAAAHnABAAIAAAAIMzI5My4zNjMBCAAAAAUAAAABMQEAAAAKMTU3NDA0MTgwNgMAAAADMTYwAgAAAAIyOAQAAAABMAcAAAAKMTIvMTIvMjAxMggAAAAJOS8zMC8yMDEyCQAAAAEwsGuArXOmzwjzvqGtc6bPCCRDSVEuRE1ELklRX1RPVEFMX1JFVi4yMDAwLjEyLzEyLzIwMTIBAAAA8F4KAAIAAAAHMzYxLj</t>
  </si>
  <si>
    <t>g1MQEIAAAABQAAAAExAQAAAAoxNTc1OTU1NDU4AwAAAAMxNjACAAAAAjI4BAAAAAEwBwAAAAoxMi8xMi8yMDEyCAAAAAk5LzMwLzIwMTIJAAAAATCwa4Ctc6bPCPO+oa1zps8IIkNJUS5TSVJJLklRX1JFVkVOVUVfRVNULi4xMi8yLzIwMTIBAAAAHnABAAIAAAAJMzcyMC40NTA5AQ4AAAAFAAAAAjExAQAAAAEwAgAAAAcxODE2NTE0AwAAAAYxMDAxODAEAAAAATIGAAAAATMHAAAAAzE2MAgAAAABMAkAAAABMQoAAAABMAsAAAAKMTkxNDI5NjA1OAwAAAACMTINAAAACTEyLzMvMjAxMhAAAAAJMTIvMi8yMDEyEM2CrXOmzwhUIKStc6bPCCJDSVEuUC5JUV9UT1RBTF9DQVAuMjAwMC4xMi8xMi8yMDEyAQAAAIUjaQACAAAABzEwNC43MzcBCAAAAAUAAAABMQEAAAAKMTU4MDAwNjc4MwMAAAADMTYwAgAAAAQ0MTc1BAAAAAEwBwAAAAoxMi8xMi8yMDEyCAAAAAoxMC8zMS8yMDEyCQAAAAEwsGuArXOmzwiTXZ+tc6bPCB5DSVEuVFpPTy5JUV9FU1RfUkVWX0dST1dUSF8xWVIBAAAARLIsAAIAAAAGMC45MTA3ABDNgq1zps8I876hrXOmzwgaQ0lRLkFNWk4uSVFfVEVWLjEyLzEyLzIwMTIBAAAAPUkAAAIAAAAMMTA4MzA0LjI5MTcxAQYAAAAFAAAAATEBAAAACjE1NzI5MjUzNjUDAAAAAzE2MAIAAAAGMTAwMDYwBAAAAAEwBwAAAAoxMi8xMS8yMDEysGuArXOmzwiTXZ+tc6bPCCJDSVEuRlNDSS5JUV9FQklUREEuMjAwM</t>
  </si>
  <si>
    <t>C4xMi8xMi8yMDEyAQAAAC3tBQACAAAABjI1LjY5NQEIAAAABQAAAAExAQAAAAoxNTc1MjQ3NzM2AwAAAAMxNjACAAAABDQwNTEEAAAAATAHAAAACjEyLzEyLzIwMTIIAAAACTkvMzAvMjAxMgkAAAABMLBrgK1zps8Ik12frXOmzwgkQ0lRLkFNWk4uSVFfTEFTVFNBTEVQUklDRS4xMi8xMi8yMDEyAQAAAD1JAAACAAAABzI1My45NjMAsGuArXOmzwiTXZ+tc6bPCCBDSVEuR09PRy5JUV9NQVJLRVRDQVAuMTIvMTIvMjAxMgEAAACocQAAAgAAAA0yMjg5OTAuNzIwNTIxAQYAAAAFAAAAATEBAAAACjE1NzM2NDI1MDcDAAAAAzE2MAIAAAAGMTAwMDU0BAAAAAEwBwAAAAoxMi8xMS8yMDEysGuArXOmzwiTXZ+tc6bPCBZDSVEuUk9JQS5LLklRX0JFVEFfMllSAQAAACaDAAACAAAAETAuOTQzNDcxMjczMjU3Mzk0ABDNgq1zps8Ik12frXOmzwgkQ0lRLkJMTlguSVFfTEFTVFNBTEVQUklDRS4xMi8xMi8yMDEyAQAAACzUpQACAAAABDAuNjIAsGuArXOmzwhUIKStc6bPCBxDSVEuRkIuSVFfR1AuMjAwMC4xMi8xMi8yMDEyAQAAABfbPAECAAAABDM0MjEBCAAAAAUAAAABMQEAAAAKMTU3MjgyOTY2NgMAAAADMTYwAgAAAAIxMAQAAAABMAcAAAAKMTIvMTIvMjAxMggAAAAJOS8zMC8yMDEyCQAAAAEwEM2CrXOmzwjzvqGtc6bPCCNDSVEuRkIuSVFfVE9UQUxfQ0FQLjIwMDAuMTIvMTIvMjAxMgEAAAAX2zwBAgAAAAUxNTA3</t>
  </si>
  <si>
    <t>NgEIAAAABQAAAAExAQAAAAoxNTcyODI5NjY2AwAAAAMxNjACAAAABDQxNzUEAAAAATAHAAAACjEyLzEyLzIwMTIIAAAACTkvMzAvMjAxMgkAAAABMLBrgK1zps8I876hrXOmzwglQ0lRLlRSSVAuSVFfVE9UQUxfQ0FQLjIwMDAuMTIvMTIvMjAxMgEAAADJIwIAAgAAAAgxMTE3Ljc3MgEIAAAABQAAAAExAQAAAAoxNTc0NDY0MjQ3AwAAAAMxNjACAAAABDQxNzUEAAAAATAHAAAACjEyLzEyLzIwMTIIAAAACTkvMzAvMjAxMgkAAAABMLBrgK1zps8Ik12frXOmzwgZQ0lRLkNCUy5JUV9URVYuMTIvMTIvMjAxMgEAAAAfoqcBAgAAAAwyNzc1NC40NjUwODEBBgAAAAUAAAABMQEAAAAKMTU3NDg4Nzk3MgMAAAADMTYwAgAAAAYxMDAwNjAEAAAAATAHAAAACjEyLzExLzIwMTKwa4Ctc6bPCPO+oa1zps8IHkNJUS5DQlMuSVFfWUVBUkhJR0guMTIvMTIvMjAxMgEAAAAfoqcBAgAAAAUzOC4zMgCwa4Ctc6bPCDP8nK1zps8IIkNJUS5GQi5JUV9MQVNUU0FMRVBSSUNFLjEyLzEyLzIwMTIBAAAAF9s8AQIAAAAFMjcuNjgAsGuArXOmzwjzvqGtc6bPCCRDSVEuUk9JQS5LLklRX0VCSVREQS4yMDAwLjEyLzEyLzIwMTIBAAAAJoMAAAIAAAAHMTUxLjU1OAEIAAAABQAAAAExAQAAAAoxNTc2ODk3MTYzAwAAAAMxNjACAAAABDQwNTEEAAAAATAHAAAACjEyLzEyLzIwMTIIAAAACTkvMzAvMjAxMgkAAAABMLBrgK1zps8Ik12frXO</t>
  </si>
  <si>
    <t>mzwghQ0lRLlRSSVAuSVFfRUJJVERBX0VTVC4uMTIvMi8yMDEyAQAAAMkjAgACAAAACDQwNS44MjY2AQ4AAAAFAAAAAjExAQAAAAEwAgAAAAg4MTU0ODIyMQMAAAAGMTAwMTg3BAAAAAEyBgAAAAEzBwAAAAMxNjAIAAAAATAJAAAAATEKAAAAATALAAAACjE5MDU0OTQ4NzMMAAAAAjEyDQAAAAkxMi8zLzIwMTIQAAAACTEyLzIvMjAxMhDNgq1zps8Ik12frXOmzwgfQ0lRLk5GTFguSVFfWUVBUkhJR0guMTIvMTIvMjAxMgEAAAAMfQAAAgAAAAYxMzMuNDMAsGuArXOmzwiTXZ+tc6bPCCVDSVEuRElBTC5JUV9UT1RBTF9SRVYuMjAwMC4xMi8xMi8yMDEyAQAAAK6bdAACAAAABzI0Ni4wODcBCAAAAAUAAAABMQEAAAAKMTU3NjA1Mzg3MAMAAAADMTYwAgAAAAIyOAQAAAABMAcAAAAKMTIvMTIvMjAxMggAAAAJOS8zMC8yMDEyCQAAAAEwsGuArXOmzwjzvqGtc6bPCBpDSVEuU0lSSS5JUV9URVYuMTIvMTIvMjAxMgEAAAAecAEAAgAAAAsxNjA5My45OTc1OAEGAAAABQAAAAExAQAAAAoxNTc0MDI2MzA2AwAAAAMxNjACAAAABjEwMDA2MAQAAAABMAcAAAAKMTIvMTEvMjAxMrBrgK1zps8Ik12frXOmzwgdQ0lRLkNCUy5JUV9HUC4yMDAwLjEyLzEyLzIwMTIBAAAAH6KnAQIAAAAENjE3MgEIAAAABQAAAAExAQAAAAoxNTc0OTA0NjQ1AwAAAAMxNjACAAAAAjEwBAAAAAEwBwAAAAoxMi8xMi8yMDEyCAAAAAk5LzMwLzIwMT</t>
  </si>
  <si>
    <t>IJAAAAATAQzYKtc6bPCJNdn61zps8IJUNJUS5BTVpOLklRX1RPVEFMX0NBUC4yMDAwLjEyLzEyLzIwMTIBAAAAPUkAAAIAAAAENzU1MwEIAAAABQAAAAExAQAAAAoxNTcyOTQ3OTIzAwAAAAMxNjACAAAABDQxNzUEAAAAATAHAAAACjEyLzEyLzIwMTIIAAAACTkvMzAvMjAxMgkAAAABMLBrgK1zps8I876hrXOmzwgmQ0lRLkRJQUwuSVFfVE9UQUxfREVCVC4yMDAwLjEyLzEyLzIwMTIBAAAArpt0AAIAAAAHMjgyLjE5NwEIAAAABQAAAAExAQAAAAoxNTc2MDUzODcwAwAAAAMxNjACAAAABDQxNzMEAAAAATAHAAAACjEyLzEyLzIwMTIIAAAACTkvMzAvMjAxMgkAAAABMLBrgK1zps8IVCCkrXOmzwgiQ0lRLkFNWk4uSVFfUkVWRU5VRV9FU1QuLjEyLzIvMjAxMgEAAAA9SQAAAgAAAAo3MzI5MS4yNDM1AQ4AAAAFAAAAAjExAQAAAAEwAgAAAAcxNzU2Mjc2AwAAAAYxMDAxODAEAAAAATIGAAAAATMHAAAAAzE2MAgAAAABMAkAAAABMQoAAAABMAsAAAAKMTkwNzU2MTc4MgwAAAACMTINAAAACTEyLzMvMjAxMhAAAAAJMTIvMi8yMDEyEM2CrXOmzwhUIKStc6bPCCJDSVEuVFJJUC5JUV9SRVZFTlVFX0VTVC4uMTIvMi8yMDEyAQAAAMkjAgACAAAACDg3OC4yNzM0AQ4AAAAFAAAAAjExAQAAAAEwAgAAAAg4MTU0ODIyMQMAAAAGMTAwMTgwBAAAAAEyBgAAAAEzBwAAAAMxNjAIAAAAATAJAAAAATEKAAAAATALAAAACjE5M</t>
  </si>
  <si>
    <t>DU0OTQ4NjUMAAAAAjEyDQAAAAkxMi8zLzIwMTIQAAAACTEyLzIvMjAxMhDNgq1zps8IM/ycrXOmzwgdQ0lRLkNCUy5JUV9FU1RfUkVWX0dST1dUSF8xWVIBAAAAH6KnAQIAAAAGNC4yMjY2ABDNgq1zps8I876hrXOmzwggQ0lRLllIT08uSVFfRUJJVC4yMDAwLjEyLzEyLzIwMTIBAAAAmGYBAAIAAAAGNzk0LjY5AQgAAAAFAAAAATEBAAAACjE1NzUyNDc4OTUDAAAAAzE2MAIAAAADNDAwBAAAAAEwBwAAAAoxMi8xMi8yMDEyCAAAAAk5LzMwLzIwMTIJAAAAATCwa4Ctc6bPCPO+oa1zps8IIUNJUS5UVkwuSVFfRUJJVERBLjIwMDAuMTIvMTIvMjAxMgEAAAB1eAAAAgAAAAcxNTkuMDgzAQgAAAAFAAAAATEBAAAACjE1NzU1NzkxODQDAAAAAzE2MAIAAAAENDA1MQQAAAABMAcAAAAKMTIvMTIvMjAxMggAAAAJOS8zMC8yMDEyCQAAAAEwsGuArXOmzwhUIKStc6bPCCBDSVEuQ0NNTy5JUV9FQklULjIwMDAuMTIvMTIvMjAxMgEAAABgagEAAgAAAAgxMDY4LjkyMQEIAAAABQAAAAExAQAAAAoxNTczODYxNzYyAwAAAAMxNjACAAAAAzQwMAQAAAABMAcAAAAKMTIvMTIvMjAxMggAAAAJOS8zMC8yMDEyCQAAAAEwsGuArXOmzwjzvqGtc6bPCCJDSVEuUC5JUV9UT1RBTF9SRVYuMjAwMC4xMi8xMi8yMDEyAQAAAIUjaQACAAAABzM4My4zODIBCAAAAAUAAAABMQEAAAAKMTU4MDAwNjc4MwMAAAADMTYwAgAAAAIyOAQAAAAB</t>
  </si>
  <si>
    <t>MAcAAAAKMTIvMTIvMjAxMggAAAAKMTAvMzEvMjAxMgkAAAABMBDNgq1zps8Ik12frXOmzwgfQ0lRLkRNRC5JUV9FQklULjIwMDAuMTIvMTIvMjAxMgEAAADwXgoAAgAAAAU2LjU5NgEIAAAABQAAAAExAQAAAAoxNTc1OTU1NDU4AwAAAAMxNjACAAAAAzQwMAQAAAABMAcAAAAKMTIvMTIvMjAxMggAAAAJOS8zMC8yMDEyCQAAAAEwsGuArXOmzwjzvqGtc6bPCCJDSVEuQ0NNTy5JUV9FQklUREEuMjAwMC4xMi8xMi8yMDEyAQAAAGBqAQACAAAACDE4MDAuODk4AQgAAAAFAAAAATEBAAAACjE1NzM4NjE3NjIDAAAAAzE2MAIAAAAENDA1MQQAAAABMAcAAAAKMTIvMTIvMjAxMggAAAAJOS8zMC8yMDEyCQAAAAEwsGuArXOmzwhUIKStc6bPCBNDSVEuVFZMLklRX0JFVEFfMllSAQAAAHV4AAACAAAAEDEuOTE1ODkwODc4ODY2NjUAEM2CrXOmzwjzvqGtc6bPCChDSVEuUk9JQS5LLklRX1RPVEFMX0RFQlQuMjAwMC4xMi8xMi8yMDEyAQAAACaDAAACAAAABjgxOS4zMgEIAAAABQAAAAExAQAAAAoxNTc2ODk3MTYzAwAAAAMxNjACAAAABDQxNzMEAAAAATAHAAAACjEyLzEyLzIwMTIIAAAACTkvMzAvMjAxMgkAAAABMLBrgK1zps8Ik12frXOmzwgiQ0lRLkxOS0QuSVFfRUJJVERBLjIwMDAuMTIvMTIvMjAxMgEAAADDjnUAAgAAAAcxMDQuMTA4AQgAAAAFAAAAATEBAAAACjE1NzQwNDI0MTkDAAAAAzE2MAIAAAAENDA1MQQ</t>
  </si>
  <si>
    <t>AAAABMAcAAAAKMTIvMTIvMjAxMggAAAAJOS8zMC8yMDEyCQAAAAEwEM2CrXOmzwiTXZ+tc6bPCCRDSVEuTkZMWC5JUV9MQVNUU0FMRVBSSUNFLjEyLzEyLzIwMTIBAAAADH0AAAIAAAAGOTIuNDgxALBrgK1zps8Ik12frXOmzwgfQ0lRLkNCUy5JUV9FQklULjIwMDAuMTIvMTIvMjAxMgEAAAAfoqcBAgAAAAQyODk0AQgAAAAFAAAAATEBAAAACjE1NzQ5MDQ2NDUDAAAAAzE2MAIAAAADNDAwBAAAAAEwBwAAAAoxMi8xMi8yMDEyCAAAAAk5LzMwLzIwMTIJAAAAATAQzYKtc6bPCJNdn61zps8IJENJUS5ZRUxQLklRX0xBU1RTQUxFUFJJQ0UuMTIvMTIvMjAxMgEAAADIvHYBAgAAAAUxOS42OQCwa4Ctc6bPCPO+oa1zps8IIENJUS5TSVJJLklRX01BUktFVENBUC4xMi8xMi8yMDEyAQAAAB5wAQACAAAACzE0MjE1LjUwODU4AQYAAAAFAAAAATEBAAAACjE1NzQwMjYzMDYDAAAAAzE2MAIAAAAGMTAwMDU0BAAAAAEwBwAAAAoxMi8xMS8yMDEysGuArXOmzwiTXZ+tc6bPCCJDSVEuTE5LRC5JUV9SRVZFTlVFX0VTVC4uMTIvMi8yMDEyAQAAAMOOdQACAAAACTEzMDIuNzczNgEOAAAABQAAAAIxMQEAAAABMAIAAAAIMzE4MTQyNzcDAAAABjEwMDE4MAQAAAABMgYAAAABMwcAAAADMTYwCAAAAAEwCQAAAAExCgAAAAEwCwAAAAoxODgxNjUxNzA1DAAAAAIxMg0AAAAJMTIvMy8yMDEyEAAAAAkxMi8yLzIwMTIQzYKtc6bPCJ</t>
  </si>
  <si>
    <t>Ndn61zps8IHkNJUS5TSVJJLklRX0VTVF9SRVZfR1JPV1RIXzFZUgEAAAAecAEAAgAAAAcxMi44MjYxABDNgq1zps8Ik12frXOmzwghQ0lRLkJMTlguSVFfRUJJVERBX0VTVC4uMTIvMi8yMDEyAQAAACzUpQACAAAABzIzLjMzNjMBDgAAAAUAAAACMTEBAAAAATACAAAABzI3MDUyNDgDAAAABjEwMDE4NwQAAAABMwYAAAABMwcAAAADMTYwCAAAAAEwCQAAAAExCgAAAAEwCwAAAAoxODc2NzQ2OTIyDAAAAAIxMg0AAAAJMTIvMy8yMDEyEAAAAAkxMi8yLzIwMTIQzYKtc6bPCPO+oa1zps8IIUNJUS5GU0NJLklRX0VCSVREQV9FU1QuLjEyLzIvMjAxMgEAAAAt7QUAAgAAAAYyNS4wNzUBDgAAAAUAAAACMTEBAAAAATACAAAACDI3NTA4MzM1AwAAAAYxMDAxODcEAAAAATIGAAAAATMHAAAAAzE2MAgAAAABMAkAAAABMQoAAAABMAsAAAAKMTg4ODQzMjcwMQwAAAACMTINAAAACTEyLzMvMjAxMhAAAAAJMTIvMi8yMDEyEM2CrXOmzwjzvqGtc6bPCB5DSVEuTE5LRC5JUV9HUC4yMDAwLjEyLzEyLzIwMTIBAAAAw451AAIAAAAHNzIyLjk4OAEIAAAABQAAAAExAQAAAAoxNTc0MDQyNDE5AwAAAAMxNjACAAAAAjEwBAAAAAEwBwAAAAoxMi8xMi8yMDEyCAAAAAk5LzMwLzIwMTIJAAAAATAQzYKtc6bPCDP8nK1zps8IHUNJUS5GQi5JUV9ZRUFSSElHSC4xMi8xMi8yMDEyAQAAABfbPAECAAAAAjQ1ALBrgK1zps8I876hrXOmz</t>
  </si>
  <si>
    <t>wgkQ0lRLlRWTC5JUV9UT1RBTF9DQVAuMjAwMC4xMi8xMi8yMDEyAQAAAHV4AAACAAAABzU0NS45NTIBCAAAAAUAAAABMQEAAAAKMTU3NTU3OTE4NAMAAAADMTYwAgAAAAQ0MTc1BAAAAAEwBwAAAAoxMi8xMi8yMDEyCAAAAAk5LzMwLzIwMTIJAAAAATCwa4Ctc6bPCPO+oa1zps8IIkNJUS5BTVpOLklRX0VCSVREQS4yMDAwLjEyLzEyLzIwMTIBAAAAPUkAAAIAAAAEMjA4OQEIAAAABQAAAAExAQAAAAoxNTcyOTQ3OTIzAwAAAAMxNjACAAAABDQwNTEEAAAAATAHAAAACjEyLzEyLzIwMTIIAAAACTkvMzAvMjAxMgkAAAABMLBrgK1zps8Ik12frXOmzwgeQ0lRLkJMTlguSVFfR1AuMjAwMC4xMi8xMi8yMDEyAQAAACzUpQACAAAABjc2LjEzMQEIAAAABQAAAAExAQAAAAoxNTc2Njk4MDk3AwAAAAMxNjACAAAAAjEwBAAAAAEwBwAAAAoxMi8xMi8yMDEyCAAAAAk5LzMwLzIwMTIJAAAAATCwa4Ctc6bPCPO+oa1zps8IIUNJUS5BTVpOLklRX0VCSVREQV9FU1QuLjEyLzIvMjAxMgEAAAA9SQAAAgAAAAk0MDcyLjc3MDMBDgAAAAUAAAACMTEBAAAAATACAAAABzE3NTYyNzYDAAAABjEwMDE4NwQAAAABMgYAAAABMwcAAAADMTYwCAAAAAEwCQAAAAExCgAAAAEwCwAAAAoxOTA3NTYxNzkwDAAAAAIxMg0AAAAJMTIvMy8yMDEyEAAAAAkxMi8yLzIwMTIQzYKtc6bPCJNdn61zps8IHUNJUS5FVE0uSVFfRVNUX1JFVl9HUk9X</t>
  </si>
  <si>
    <t>VEhfMVlSAQAAAOYJBgACAAAABjEuMzg4NAAQzYKtc6bPCJNdn61zps8IIkNJUS5UWk9PLklRX1JFVkVOVUVfRVNULi4xMi8yLzIwMTIBAAAARLIsAAIAAAAHMTU2LjU2MgEOAAAABQAAAAIxMQEAAAABMAIAAAAHMjI3OTUyMgMAAAAGMTAwMTgwBAAAAAEyBgAAAAEzBwAAAAMxNjAIAAAAATAJAAAAATEKAAAAATALAAAACjE4Nzg2Mjk3ODUMAAAAAjEyDQAAAAkxMi8zLzIwMTIQAAAACTEyLzIvMjAxMhDNgq1zps8Ik12frXOmzwggQ0lRLk5YU1QuSVFfTUFSS0VUQ0FQLjEyLzEyLzIwMTIBAAAA7ukHAAIAAAAKMjk4LjY0ODcxNAEGAAAABQAAAAExAQAAAAoxNTc1MzE4MTA0AwAAAAMxNjACAAAABjEwMDA1NAQAAAABMAcAAAAKMTIvMTEvMjAxMrBrgK1zps8I876hrXOmzwgkQ0lRLlRWTC5JUV9UT1RBTF9SRVYuMjAwMC4xMi8xMi8yMDEyAQAAAHV4AAACAAAABzQ2OC43OTcBCAAAAAUAAAABMQEAAAAKMTU3NTU3OTE4NAMAAAADMTYwAgAAAAIyOAQAAAABMAcAAAAKMTIvMTIvMjAxMggAAAAJOS8zMC8yMDEyCQAAAAEwsGuArXOmzwiTXZ+tc6bPCBpDSVEuRElBTC5JUV9URVYuMTIvMTIvMjAxMgEAAACum3QAAgAAAAkyOTAuMzcyODMBBgAAAAUAAAABMQEAAAAKMTU3NjA1MzUwMAMAAAADMTYwAgAAAAYxMDAwNjAEAAAAATAHAAAACjEyLzExLzIwMTKwa4Ctc6bPCJNdn61zps8IJUNJUS5UUklQLklRX1RPVEF</t>
  </si>
  <si>
    <t>MX1JFVi4yMDAwLjEyLzEyLzIwMTIBAAAAySMCAAIAAAAHNzMxLjM3MQEIAAAABQAAAAExAQAAAAoxNTc0NDY0MjQ3AwAAAAMxNjACAAAAAjI4BAAAAAEwBwAAAAoxMi8xMi8yMDEyCAAAAAk5LzMwLzIwMTIJAAAAATAQzYKtc6bPCPO+oa1zps8IGkNJUS5DTUxTLklRX1RFVi4xMi8xMi8yMDEyAQAAAGxqAAACAAAACzMxMzQuMzc0NDkxAQYAAAAFAAAAATEBAAAACjE1NzQ2MTQyODYDAAAAAzE2MAIAAAAGMTAwMDYwBAAAAAEwBwAAAAoxMi8xMS8yMDEysGuArXOmzwiTXZ+tc6bPCBpDSVEuTkZMWC5JUV9URVYuMTIvMTIvMjAxMgEAAAAMfQAAAgAAAAs0MzgzLjIwOTgyNgEGAAAABQAAAAExAQAAAAoxNTczODY1NDc3AwAAAAMxNjACAAAABjEwMDA2MAQAAAABMAcAAAAKMTIvMTEvMjAxMrBrgK1zps8IVCCkrXOmzwgfQ0lRLllFTFAuSVFfWUVBUkhJR0guMTIvMTIvMjAxMgEAAADIvHYBAgAAAAUzMS45NgCwa4Ctc6bPCPO+oa1zps8IJkNJUS5OWFNULklRX1RPVEFMX0RFQlQuMjAwMC4xMi8xMi8yMDEyAQAAAO7pBwACAAAABzYxNS4yNDgBCAAAAAUAAAABMQEAAAAKMTU3NTMzNjI3NAMAAAADMTYwAgAAAAQ0MTczBAAAAAEwBwAAAAoxMi8xMi8yMDEyCAAAAAk5LzMwLzIwMTIJAAAAATCwa4Ctc6bPCDP8nK1zps8IHkNJUS5UUklQLklRX0dQLjIwMDAuMTIvMTIvMjAxMgEAAADJIwIAAgAAAAc3MjAuMTU1AQ</t>
  </si>
  <si>
    <t>gAAAAFAAAAATEBAAAACjE1NzQ0NjQyNDcDAAAAAzE2MAIAAAACMTAEAAAAATAHAAAACjEyLzEyLzIwMTIIAAAACTkvMzAvMjAxMgkAAAABMBDNgq1zps8I876hrXOmzwglQ0lRLkVUTS5JUV9UT1RBTF9ERUJULjIwMDAuMTIvMTIvMjAxMgEAAADmCQYAAgAAAAc1OTkuNDk1AQgAAAAFAAAAATEBAAAACjE1NzQwNDI2NjADAAAAAzE2MAIAAAAENDE3MwQAAAABMAcAAAAKMTIvMTIvMjAxMggAAAAJOS8zMC8yMDEyCQAAAAEwsGuArXOmzwiTXZ+tc6bPCCVDSVEuRlNDSS5JUV9UT1RBTF9DQVAuMjAwMC4xMi8xMi8yMDEyAQAAAC3tBQACAAAABzExOC40NjEBCAAAAAUAAAABMQEAAAAKMTU3NTI0NzczNgMAAAADMTYwAgAAAAQ0MTc1BAAAAAEwBwAAAAoxMi8xMi8yMDEyCAAAAAk5LzMwLzIwMTIJAAAAATCwa4Ctc6bPCJNdn61zps8IHkNJUS5DQ01PLklRX0VTVF9SRVZfR1JPV1RIXzFZUgEAAABgagEAAgAAAAYwLjg4MDQAEM2CrXOmzwjzvqGtc6bPCB5DSVEuTkZMWC5JUV9HUC4yMDAwLjEyLzEyLzIwMTIBAAAADH0AAAIAAAAIMTAzNC40NjQBCAAAAAUAAAABMQEAAAAKMTU3Mzg4NzQ0MwMAAAADMTYwAgAAAAIxMAQAAAABMAcAAAAKMTIvMTIvMjAxMggAAAAJOS8zMC8yMDEyCQAAAAEwsGuArXOmzwgz/Jytc6bPCB9DSVEuTlhTVC5JUV9ZRUFSSElHSC4xMi8xMi8yMDEyAQAAAO7pBwACAAAABTEyLjk3ALBrg</t>
  </si>
  <si>
    <t>K1zps8I876hrXOmzwgeQ0lRLlRWTC5JUV9ZRUFSSElHSC4xMi8xMi8yMDEyAQAAAHV4AAACAAAABDcuNDkAsGuArXOmzwjzvqGtc6bPCCRDSVEuQ0JTLklRX1RPVEFMX1JFVi4yMDAwLjEyLzEyLzIwMTIBAAAAH6KnAQIAAAAFMTQ2MDIBCAAAAAUAAAABMQEAAAAKMTU3NDkwNDY0NQMAAAADMTYwAgAAAAIyOAQAAAABMAcAAAAKMTIvMTIvMjAxMggAAAAJOS8zMC8yMDEyCQAAAAEwEM2CrXOmzwjzvqGtc6bPCB9DSVEuR09PRy5JUV9ZRUFSSElHSC4xMi8xMi8yMDEyAQAAAKhxAAACAAAABjc3NC4zOACwa4Ctc6bPCPO+oa1zps8IIUNJUS5ZRUxQLklRX0VCSVREQV9FU1QuLjEyLzIvMjAxMgEAAADIvHYBAgAAAAcxNC44MzUzAQ4AAAAFAAAAAjExAQAAAAEwAgAAAAkxMjA5NDM4NjgDAAAABjEwMDE4NwQAAAABMgYAAAABMwcAAAADMTYwCAAAAAEwCQAAAAExCgAAAAEwCwAAAAoxOTYwNDI5MTI3DAAAAAIxMg0AAAAJMTIvMy8yMDEyEAAAAAkxMi8yLzIwMTIQzYKtc6bPCPO+oa1zps8IIENJUS5UUklQLklRX0VCSVQuMjAwMC4xMi8xMi8yMDEyAQAAAMkjAgACAAAABzI5NC41MjcBCAAAAAUAAAABMQEAAAAKMTU3NDQ2NDI0NwMAAAADMTYwAgAAAAM0MDAEAAAAATAHAAAACjEyLzEyLzIwMTIIAAAACTkvMzAvMjAxMgkAAAABMBDNgq1zps8I876hrXOmzwggQ0lRLkZCLklRX1JFVkVOVUVfRVNULi4xMi8yLzIw</t>
  </si>
  <si>
    <t>MTIBAAAAF9s8AQIAAAAINjAzMC43NzUBDgAAAAUAAAACMTEBAAAAATACAAAACTEzNDg5MTc2OAMAAAAGMTAwMTgwBAAAAAEyBgAAAAEzBwAAAAMxNjAIAAAAATAJAAAAATEKAAAAATALAAAACjE4NjQ5MTIyMDMMAAAAAjEyDQAAAAkxMi8zLzIwMTIQAAAACTEyLzIvMjAxMhDNgq1zps8IM/ycrXOmzwgjQ0lRLkRNRC5JUV9MQVNUU0FMRVBSSUNFLjEyLzEyLzIwMTIBAAAA8F4KAAIAAAAEOS4wNQCwa4Ctc6bPCFQgpK1zps8IJkNJUS5MTktELklRX1RPVEFMX0RFQlQuMjAwMC4xMi8xMi8yMDEyAQAAAMOOdQACAAAAATABCAAAAAUAAAABMQEAAAAKMTU3NDA0MjQxOQMAAAADMTYwAgAAAAQ0MTczBAAAAAEwBwAAAAoxMi8xMi8yMDEyCAAAAAk5LzMwLzIwMTIJAAAAATCwa4Ctc6bPCFQgpK1zps8IJENJUS5FVE0uSVFfVE9UQUxfQ0FQLjIwMDAuMTIvMTIvMjAxMgEAAADmCQYAAgAAAAc4NTguMTQzAQgAAAAFAAAAATEBAAAACjE1NzQwNDI2NjADAAAAAzE2MAIAAAAENDE3NQQAAAABMAcAAAAKMTIvMTIvMjAxMggAAAAJOS8zMC8yMDEyCQAAAAEwsGuArXOmzwjzvqGtc6bPCCJDSVEuTlhTVC5JUV9SRVZFTlVFX0VTVC4uMTIvMi8yMDEyAQAAAO7pBwACAAAABTM3Ni45AQ4AAAAFAAAAAjExAQAAAAEwAgAAAAcyMDAxMDU2AwAAAAYxMDAxODAEAAAAATIGAAAAATMHAAAAAzE2MAgAAAABMAkAAAABMQoAAAABMAs</t>
  </si>
  <si>
    <t>AAAAKMTc5OTk0NTQxMQwAAAACMTINAAAACTEyLzMvMjAxMhAAAAAJMTIvMi8yMDEyEM2CrXOmzwgz/Jytc6bPCCRDSVEuU0dBLklRX1RPVEFMX1JFVi4yMDAwLjEyLzEyLzIwMTIBAAAA2OgEAAIAAAAHMTI4Ljk3NAEIAAAABQAAAAExAQAAAAoxNTc1NTc4MzQ5AwAAAAMxNjACAAAAAjI4BAAAAAEwBwAAAAoxMi8xMi8yMDEyCAAAAAk5LzMwLzIwMTIJAAAAATCwa4Ctc6bPCPO+oa1zps8IIkNJUS5ZSE9PLklRX1JFVkVOVUVfRVNULi4xMi8yLzIwMTIBAAAAmGYBAAIAAAAJNDU4NC40OTk2AQ4AAAAFAAAAAjExAQAAAAEwAgAAAAcxODEzMTk4AwAAAAYxMDAxODAEAAAAATIGAAAAATMHAAAAAzE2MAgAAAABMAkAAAABMQoAAAABMAsAAAAKMTg3MjIyNzk3MwwAAAACMTINAAAACTEyLzMvMjAxMhAAAAAJMTIvMi8yMDEyEM2CrXOmzwiTXZ+tc6bPCCJDSVEuVFpPTy5JUV9FQklUREEuMjAwMC4xMi8xMi8yMDEyAQAAAESyLAACAAAABDM0LjQBCAAAAAUAAAABMQEAAAAKMTU3MzA4NDMwMQMAAAADMTYwAgAAAAQ0MDUxBAAAAAEwBwAAAAoxMi8xMi8yMDEyCAAAAAk5LzMwLzIwMTIJAAAAATAQzYKtc6bPCFQgpK1zps8IJkNJUS5DTUxTLklRX1RPVEFMX0RFQlQuMjAwMC4xMi8xMi8yMDEyAQAAAGxqAAACAAAACDI2OTEuOTU1AQgAAAAFAAAAATEBAAAACjE1NzQ2MzQ0NDIDAAAAAzE2MAIAAAAENDE3MwQAAAABMA</t>
  </si>
  <si>
    <t>cAAAAKMTIvMTIvMjAxMggAAAAJOS8zMC8yMDEyCQAAAAEwsGuArXOmzwgz/Jytc6bPCCRDSVEuR09PRy5JUV9MQVNUU0FMRVBSSUNFLjEyLzEyLzIwMTIBAAAAqHEAAAIAAAAHNzAyLjgwNgCwa4Ctc6bPCJNdn61zps8IHkNJUS5GU0NJLklRX0VTVF9SRVZfR1JPV1RIXzFZUgEAAAAt7QUAAgAAAAYzLjYyODEAEM2CrXOmzwjzvqGtc6bPCCVDSVEuTlhTVC5JUV9UT1RBTF9SRVYuMjAwMC4xMi8xMi8yMDEyAQAAAO7pBwACAAAABjM0OC42NgEIAAAABQAAAAExAQAAAAoxNTc1MzM2Mjc0AwAAAAMxNjACAAAAAjI4BAAAAAEwBwAAAAoxMi8xMi8yMDEyCAAAAAk5LzMwLzIwMTIJAAAAATCwa4Ctc6bPCPO+oa1zps8IJUNJUS5ORkxYLklRX1RPVEFMX1JFVi4yMDAwLjEyLzEyLzIwMTIBAAAADH0AAAIAAAAIMzUzOS42MTgBCAAAAAUAAAABMQEAAAAKMTU3Mzg4NzQ0MwMAAAADMTYwAgAAAAIyOAQAAAABMAcAAAAKMTIvMTIvMjAxMggAAAAJOS8zMC8yMDEyCQAAAAEwsGuArXOmzwjzvqGtc6bPCCJDSVEuTkZMWC5JUV9SRVZFTlVFX0VTVC4uMTIvMi8yMDEyAQAAAAx9AAACAAAACTM5NTEuMTk5NwEOAAAABQAAAAIxMQEAAAABMAIAAAAHMTc5MDg1NgMAAAAGMTAwMTgwBAAAAAEyBgAAAAEzBwAAAAMxNjAIAAAAATAJAAAAATEKAAAAATALAAAACjE5MDc1NjA4NTgMAAAAAjEyDQAAAAkxMi8zLzIwMTIQAAAACTEyL</t>
  </si>
  <si>
    <t>zIvMjAxMhDNgq1zps8IVCCkrXOmzwgmQ0lRLlNJUkkuSVFfVE9UQUxfREVCVC4yMDAwLjEyLzEyLzIwMTIBAAAAHnABAAIAAAAIMjQzNC43NTMBCAAAAAUAAAABMQEAAAAKMTU3NDA0MTgwNgMAAAADMTYwAgAAAAQ0MTczBAAAAAEwBwAAAAoxMi8xMi8yMDEyCAAAAAk5LzMwLzIwMTIJAAAAATCwa4Ctc6bPCJNdn61zps8IH0NJUS5ESUFMLklRX1lFQVJISUdILjEyLzEyLzIwMTIBAAAArpt0AAIAAAADNC4xALBrgK1zps8I876hrXOmzwgfQ0lRLkJMTlguSVFfWUVBUkhJR0guMTIvMTIvMjAxMgEAAAAs1KUAAgAAAAYwLjkzNzgAsGuArXOmzwiTXZ+tc6bPCBlDSVEuU0dBLklRX1RFVi4xMi8xMi8yMDEyAQAAANjoBAACAAAACjI0MS45ODQ3NzUBBgAAAAUAAAABMQEAAAAKMTU3NTU1Nzk4NAMAAAADMTYwAgAAAAYxMDAwNjAEAAAAATAHAAAACjEyLzExLzIwMTKwa4Ctc6bPCFQgpK1zps8IHUNJUS5TR0EuSVFfRVNUX1JFVl9HUk9XVEhfMVlSAQAAANjoBAACAAAABjEuNTEyMgAQzYKtc6bPCPO+oa1zps8IHkNJUS5GQi5JUV9NQVJLRVRDQVAuMTIvMTIvMjAxMgEAAAAX2zwBAgAAAAw2MDYxNi42MzYwNzgBBgAAAAUAAAABMQEAAAAKMTU3MjgxNDQzMgMAAAADMTYwAgAAAAYxMDAwNTQEAAAAATAHAAAACjEyLzExLzIwMTKwa4Ctc6bPCPO+oa1zps8IJENJUS5OWFNULklRX0xBU1RTQUxFUFJJQ0UuMTIvMTIv</t>
  </si>
  <si>
    <t>MjAxMgEAAADu6QcAAgAAAAUxMC40MgCwa4Ctc6bPCPO+oa1zps8IGUNJUS5FVE0uSVFfVEVWLjEyLzEyLzIwMTIBAAAA5gkGAAIAAAAKODQyLjA1ODY1NAEGAAAABQAAAAExAQAAAAoxNTc0MDI1OTA2AwAAAAMxNjACAAAABjEwMDA2MAQAAAABMAcAAAAKMTIvMTEvMjAxMrBrgK1zps8Ik12frXOmzwgmQ0lRLllFTFAuSVFfVE9UQUxfREVCVC4yMDAwLjEyLzEyLzIwMTIBAAAAyLx2AQIAAAABMAEIAAAABQAAAAExAQAAAAoxNTc0MTQ4NDQ4AwAAAAMxNjACAAAABDQxNzMEAAAAATAHAAAACjEyLzEyLzIwMTIIAAAACTkvMzAvMjAxMgkAAAABMLBrgK1zps8IM/ycrXOmzwgeQ0lRLlNJUkkuSVFfR1AuMjAwMC4xMi8xMi8yMDEyAQAAAB5wAQACAAAABzIwNjIuODUBCAAAAAUAAAABMQEAAAAKMTU3NDA0MTgwNgMAAAADMTYwAgAAAAIxMAQAAAABMAcAAAAKMTIvMTIvMjAxMggAAAAJOS8zMC8yMDEyCQAAAAEwsGuArXOmzwjzvqGtc6bPCB5DSVEuRkIuSVFfRUJJVC4yMDAwLjEyLzEyLzIwMTIBAAAAF9s8AQIAAAADNTYyAQgAAAAFAAAAATEBAAAACjE1NzI4Mjk2NjYDAAAAAzE2MAIAAAADNDAwBAAAAAEwBwAAAAoxMi8xMi8yMDEyCAAAAAk5LzMwLzIwMTIJAAAAATAQzYKtc6bPCPO+oa1zps8I</t>
  </si>
</sst>
</file>

<file path=xl/styles.xml><?xml version="1.0" encoding="utf-8"?>
<styleSheet xmlns="http://schemas.openxmlformats.org/spreadsheetml/2006/main" xmlns:mc="http://schemas.openxmlformats.org/markup-compatibility/2006" xmlns:x14ac="http://schemas.microsoft.com/office/spreadsheetml/2009/9/ac" mc:Ignorable="x14ac">
  <numFmts count="93">
    <numFmt numFmtId="6" formatCode="&quot;$&quot;#,##0_);[Red]\(&quot;$&quot;#,##0\)"/>
    <numFmt numFmtId="7" formatCode="&quot;$&quot;#,##0.00_);\(&quot;$&quot;#,##0.00\)"/>
    <numFmt numFmtId="44" formatCode="_(&quot;$&quot;* #,##0.00_);_(&quot;$&quot;* \(#,##0.00\);_(&quot;$&quot;* &quot;-&quot;??_);_(@_)"/>
    <numFmt numFmtId="43" formatCode="_(* #,##0.00_);_(* \(#,##0.00\);_(* &quot;-&quot;??_);_(@_)"/>
    <numFmt numFmtId="164" formatCode="0.0%"/>
    <numFmt numFmtId="165" formatCode="General&quot;A&quot;"/>
    <numFmt numFmtId="166" formatCode="General&quot;E&quot;"/>
    <numFmt numFmtId="167" formatCode="0.0"/>
    <numFmt numFmtId="168" formatCode="0.00000"/>
    <numFmt numFmtId="169" formatCode="0.000"/>
    <numFmt numFmtId="170" formatCode="0.0&quot;x&quot;"/>
    <numFmt numFmtId="171" formatCode="&quot;$&quot;#,##0.0_);[Red]\(&quot;$&quot;#,##0.0\)"/>
    <numFmt numFmtId="172" formatCode="_(&quot;$&quot;#,##0_)&quot;millions&quot;;\(&quot;$&quot;#,##0\)&quot; millions&quot;"/>
    <numFmt numFmtId="173" formatCode="#,##0.00_);[Red]\(&quot;$&quot;#,##0.00\)"/>
    <numFmt numFmtId="174" formatCode="0.000_);\(0.000\)"/>
    <numFmt numFmtId="175" formatCode="#,##0.000;\(#,##0.000\)"/>
    <numFmt numFmtId="176" formatCode="0.0000_);\(0.0000\)"/>
    <numFmt numFmtId="177" formatCode="#,##0.00000_);[Red]\(#,##0.00000\)"/>
    <numFmt numFmtId="178" formatCode=";;;"/>
    <numFmt numFmtId="179" formatCode="_(\£* #,##0_);_(\£* \(#,##0\);_(\£* &quot;-&quot;_);_(@_)"/>
    <numFmt numFmtId="180" formatCode="_(\£* #,##0.0_);_(\£* \(#,##0.0\);_(\£* &quot;-&quot;_);_(@_)"/>
    <numFmt numFmtId="181" formatCode="_(\£* #,##0.00_);_(\£* \(#,##0.00\);_(\£* &quot;-&quot;_);_(@_)"/>
    <numFmt numFmtId="182" formatCode="_(* #,##0\p_);_(* \(#,##0\p\);_(* &quot;-&quot;\ \p_);_(@_)"/>
    <numFmt numFmtId="183" formatCode="_(* #,##0.00\p_);_(* \(#,##0.00\p\);_(* &quot;-&quot;\ \p_);_(@_)"/>
    <numFmt numFmtId="184" formatCode="\£#,##0.00"/>
    <numFmt numFmtId="185" formatCode="&quot;$&quot;#,##0.00\ ;\(&quot;$&quot;#,##0.00\)"/>
    <numFmt numFmtId="186" formatCode="_(* #,##0.0_);_(* \(#,##0.0\)"/>
    <numFmt numFmtId="187" formatCode="0.00_);\(0.00\);0.00"/>
    <numFmt numFmtId="188" formatCode="_(&quot;$&quot;* #,##0.0_);_(&quot;$&quot;* \(#,##0.0\)"/>
    <numFmt numFmtId="189" formatCode="@\ \ \ \ \ "/>
    <numFmt numFmtId="190" formatCode="&quot;$&quot;#,##0;\(&quot;$&quot;#,##0\)"/>
    <numFmt numFmtId="191" formatCode="#,##0.000000_);[Red]\(#,##0.000000\)"/>
    <numFmt numFmtId="192" formatCode="&quot;$&quot;#,##0.00"/>
    <numFmt numFmtId="193" formatCode="#,##0.00_)\ \ \ \ \ ;\(#,##0.00\)\ \ \ \ \ "/>
    <numFmt numFmtId="194" formatCode="&quot;$&quot;#,##0.00_)\ \ \ \ \ ;\(&quot;$&quot;#,##0.00\)\ \ \ \ \ "/>
    <numFmt numFmtId="195" formatCode="&quot;$&quot;#,##0.00\A\ \ \ \ ;\(&quot;$&quot;#,##0.00\A\)\ \ \ \ "/>
    <numFmt numFmtId="196" formatCode="&quot;$&quot;#,##0.00&quot;E&quot;\ \ \ \ ;\(&quot;$&quot;#,##0.00&quot;E&quot;\)\ \ \ \ "/>
    <numFmt numFmtId="197" formatCode="0.00_);[Red]\(0.00\)"/>
    <numFmt numFmtId="198" formatCode="#,##0.00&quot;E&quot;\ \ \ \ ;\(#,##0.00&quot;E&quot;\)\ \ \ \ "/>
    <numFmt numFmtId="199" formatCode="_([$€-2]* #,##0.00_);_([$€-2]* \(#,##0.00\);_([$€-2]* &quot;-&quot;??_)"/>
    <numFmt numFmtId="200" formatCode="0%\ \ \ \ \ \ \ "/>
    <numFmt numFmtId="201" formatCode="#,##0.00\x_);\(#,##0.00\x\)"/>
    <numFmt numFmtId="202" formatCode="#,##0.000_);\(#,##0.000\)"/>
    <numFmt numFmtId="203" formatCode="0.0%;[Red]\(0.0%\)"/>
    <numFmt numFmtId="204" formatCode="&quot;$&quot;#,##0.000_);\(&quot;$&quot;#,##0.000\)"/>
    <numFmt numFmtId="205" formatCode="0.00_);\(0.00\);0.00_)"/>
    <numFmt numFmtId="206" formatCode="_(&quot;$&quot;* #,##0_)\ &quot;millions&quot;;_(&quot;$&quot;* \(#,##0\)&quot; millions&quot;"/>
    <numFmt numFmtId="207" formatCode="&quot;$&quot;#,##0\ &quot;MM&quot;;\(&quot;$&quot;#,##0.00\ &quot;MM&quot;\)"/>
    <numFmt numFmtId="208" formatCode="0.00\ \ "/>
    <numFmt numFmtId="209" formatCode="#,##0.000000000_);[Red]\(#,##0.000000000\)"/>
    <numFmt numFmtId="210" formatCode="_(* #,##0_);_(* \(#,##0\);_(* &quot;-&quot;??_);_(@_)"/>
    <numFmt numFmtId="211" formatCode="0_);\(0\)"/>
    <numFmt numFmtId="212" formatCode="#,##0\ &quot;MM&quot;"/>
    <numFmt numFmtId="213" formatCode="_(* #,##0.00\ \x_);_(* \(#,##0.00\ \x\);_(* &quot;-&quot;??_);_(@_)"/>
    <numFmt numFmtId="214" formatCode="_(* #,##0.00\ ___);_(* \(#,##0.00\ __\);_(* &quot;-&quot;??_);_(@_)"/>
    <numFmt numFmtId="215" formatCode="_(* #,##0\ \x_);_(* \(#,##0\ \x\);_(* &quot;-&quot;??_);_(@_)"/>
    <numFmt numFmtId="216" formatCode="_(* #,##0\ ___);_(* \(#,##0\ __\);_(* &quot;-&quot;??_);_(@_)"/>
    <numFmt numFmtId="217" formatCode="_(* #,##0.0\ \x_);_(* \(#,##0.0\ \x\);_(* &quot;-&quot;??_);_(@_)"/>
    <numFmt numFmtId="218" formatCode="_(* #,##0.0\ ___);_(* \(#,##0.0\ __\);_(* &quot;-&quot;??_);_(@_)"/>
    <numFmt numFmtId="219" formatCode="0.0000000000_);[Red]\(0.0000000000\)"/>
    <numFmt numFmtId="220" formatCode="0.0\ \ \ \ \ \ "/>
    <numFmt numFmtId="221" formatCode="0.0%\ \ \ \ \ "/>
    <numFmt numFmtId="222" formatCode="_(0.0%;_(* \(0.0\)%"/>
    <numFmt numFmtId="223" formatCode="0.0_%"/>
    <numFmt numFmtId="224" formatCode="0.00\%;\-0.00\%;0.00\%"/>
    <numFmt numFmtId="225" formatCode="&quot;$&quot;#\-?/?"/>
    <numFmt numFmtId="226" formatCode="&quot;$&quot;#,##0;[Red]&quot;$&quot;#,##0"/>
    <numFmt numFmtId="227" formatCode="0.00\ \ \ \ "/>
    <numFmt numFmtId="228" formatCode="mmmm\-d\-yyyy"/>
    <numFmt numFmtId="229" formatCode="0.000\ \x;[Red]\(0.000\x\)"/>
    <numFmt numFmtId="230" formatCode="&quot;$&quot;#,##0.000_);[Red]\(&quot;$&quot;#,##0.000\)"/>
    <numFmt numFmtId="231" formatCode="#,##0.0000;\(#,##0.0000\)"/>
    <numFmt numFmtId="232" formatCode="#,##0.000_);[Red]\(#,##0.000\)"/>
    <numFmt numFmtId="233" formatCode="&quot;$&quot;@"/>
    <numFmt numFmtId="234" formatCode="0.00\x;\-0.00\x;0.00\x"/>
    <numFmt numFmtId="235" formatCode="mm/dd/yy"/>
    <numFmt numFmtId="236" formatCode="#,##0.0_);\(#,##0.0\);_(* &quot;-&quot;_)"/>
    <numFmt numFmtId="237" formatCode="_(&quot;$&quot;* #,##0.00_);_(&quot;$&quot;* \(#,##0.00\);_(* &quot;-&quot;_);_(@_)"/>
    <numFmt numFmtId="238" formatCode="#,##0.00_);\(#,##0.00\);_(* &quot;-&quot;_)"/>
    <numFmt numFmtId="239" formatCode="#,##0.0\x"/>
    <numFmt numFmtId="240" formatCode="#,##0_);\(#,##0\);_(* &quot;-&quot;_);_(* &quot;-&quot;_)"/>
    <numFmt numFmtId="241" formatCode="#,###,###,###,###,###.00"/>
    <numFmt numFmtId="242" formatCode="################.0"/>
    <numFmt numFmtId="243" formatCode="################.00"/>
    <numFmt numFmtId="244" formatCode="################.000"/>
    <numFmt numFmtId="245" formatCode="#,###,###,###,###,###.0"/>
    <numFmt numFmtId="246" formatCode="#,###,###,###,###,###.000"/>
    <numFmt numFmtId="247" formatCode="################"/>
    <numFmt numFmtId="248" formatCode="&quot;$&quot;#,##0.0_);\(&quot;$&quot;#,##0.0\)"/>
    <numFmt numFmtId="249" formatCode="0.0_);\(0.0\)"/>
    <numFmt numFmtId="250" formatCode="#,##0.0_);\(#,##0.0\)"/>
    <numFmt numFmtId="251" formatCode="_(&quot;$&quot;* #,##0.0_);_(&quot;$&quot;* \(#,##0.0\);_(&quot;$&quot;* &quot;-&quot;??_);_(@_)"/>
    <numFmt numFmtId="252" formatCode="&quot;$&quot;#,##0.0"/>
  </numFmts>
  <fonts count="67">
    <font>
      <sz val="11"/>
      <color theme="1"/>
      <name val="Calibri"/>
      <family val="2"/>
      <scheme val="minor"/>
    </font>
    <font>
      <sz val="10"/>
      <name val="Arial"/>
      <family val="2"/>
    </font>
    <font>
      <sz val="8"/>
      <color indexed="8"/>
      <name val="Arial"/>
      <family val="2"/>
    </font>
    <font>
      <b/>
      <sz val="8"/>
      <color indexed="8"/>
      <name val="Arial"/>
      <family val="2"/>
    </font>
    <font>
      <sz val="1"/>
      <color indexed="9"/>
      <name val="Symbol"/>
      <family val="1"/>
      <charset val="2"/>
    </font>
    <font>
      <b/>
      <sz val="8"/>
      <color indexed="9"/>
      <name val="Verdana"/>
      <family val="2"/>
    </font>
    <font>
      <b/>
      <sz val="13"/>
      <color indexed="8"/>
      <name val="Verdana"/>
      <family val="2"/>
    </font>
    <font>
      <sz val="10"/>
      <color indexed="8"/>
      <name val="Arial"/>
      <family val="2"/>
    </font>
    <font>
      <b/>
      <sz val="8"/>
      <color indexed="8"/>
      <name val="Verdana"/>
      <family val="2"/>
    </font>
    <font>
      <b/>
      <u val="singleAccounting"/>
      <sz val="8"/>
      <color indexed="8"/>
      <name val="Arial"/>
      <family val="2"/>
    </font>
    <font>
      <b/>
      <u val="singleAccounting"/>
      <sz val="8"/>
      <color indexed="8"/>
      <name val="Verdana"/>
      <family val="2"/>
    </font>
    <font>
      <b/>
      <sz val="10"/>
      <color indexed="9"/>
      <name val="Arial"/>
      <family val="2"/>
    </font>
    <font>
      <b/>
      <sz val="12"/>
      <color indexed="8"/>
      <name val="Verdana"/>
      <family val="2"/>
    </font>
    <font>
      <vertAlign val="subscript"/>
      <sz val="8"/>
      <color indexed="8"/>
      <name val="Arial"/>
      <family val="2"/>
    </font>
    <font>
      <vertAlign val="superscript"/>
      <sz val="8"/>
      <color indexed="8"/>
      <name val="Arial"/>
      <family val="2"/>
    </font>
    <font>
      <i/>
      <sz val="8"/>
      <color indexed="8"/>
      <name val="Arial"/>
      <family val="2"/>
    </font>
    <font>
      <sz val="10"/>
      <color theme="1"/>
      <name val="Arial"/>
      <family val="2"/>
    </font>
    <font>
      <b/>
      <sz val="10"/>
      <color theme="1"/>
      <name val="Arial"/>
      <family val="2"/>
    </font>
    <font>
      <sz val="10"/>
      <color rgb="FF3333FF"/>
      <name val="Arial"/>
      <family val="2"/>
    </font>
    <font>
      <b/>
      <sz val="16"/>
      <color theme="1"/>
      <name val="Arial"/>
      <family val="2"/>
    </font>
    <font>
      <sz val="9"/>
      <color indexed="81"/>
      <name val="Tahoma"/>
      <family val="2"/>
    </font>
    <font>
      <b/>
      <sz val="9"/>
      <color indexed="81"/>
      <name val="Tahoma"/>
      <family val="2"/>
    </font>
    <font>
      <i/>
      <sz val="10"/>
      <color theme="1"/>
      <name val="Arial"/>
      <family val="2"/>
    </font>
    <font>
      <i/>
      <sz val="10"/>
      <name val="Arial"/>
      <family val="2"/>
    </font>
    <font>
      <sz val="11"/>
      <color theme="1"/>
      <name val="Calibri"/>
      <family val="2"/>
      <scheme val="minor"/>
    </font>
    <font>
      <sz val="10"/>
      <color rgb="FF0000FF"/>
      <name val="Arial"/>
      <family val="2"/>
    </font>
    <font>
      <sz val="10"/>
      <color rgb="FF00B050"/>
      <name val="Arial"/>
      <family val="2"/>
    </font>
    <font>
      <i/>
      <sz val="10"/>
      <color rgb="FF3333FF"/>
      <name val="Arial"/>
      <family val="2"/>
    </font>
    <font>
      <i/>
      <sz val="10"/>
      <color rgb="FF0000FF"/>
      <name val="Arial"/>
      <family val="2"/>
    </font>
    <font>
      <sz val="10"/>
      <color theme="1"/>
      <name val="Calibri"/>
      <family val="2"/>
    </font>
    <font>
      <sz val="12"/>
      <color theme="1"/>
      <name val="Arial"/>
      <family val="2"/>
    </font>
    <font>
      <b/>
      <sz val="12"/>
      <color theme="1"/>
      <name val="Arial"/>
      <family val="2"/>
    </font>
    <font>
      <sz val="10"/>
      <color theme="0"/>
      <name val="Arial"/>
      <family val="2"/>
    </font>
    <font>
      <sz val="11"/>
      <color theme="0"/>
      <name val="Calibri"/>
      <family val="2"/>
      <scheme val="minor"/>
    </font>
    <font>
      <b/>
      <sz val="10"/>
      <name val="Arial"/>
      <family val="2"/>
    </font>
    <font>
      <b/>
      <u/>
      <sz val="10"/>
      <name val="Arial"/>
      <family val="2"/>
    </font>
    <font>
      <b/>
      <sz val="8"/>
      <color indexed="81"/>
      <name val="Tahoma"/>
      <family val="2"/>
    </font>
    <font>
      <sz val="8"/>
      <color indexed="81"/>
      <name val="Tahoma"/>
      <family val="2"/>
    </font>
    <font>
      <sz val="10"/>
      <name val="GillSans"/>
    </font>
    <font>
      <sz val="10"/>
      <name val="Baskerville MT"/>
    </font>
    <font>
      <sz val="10"/>
      <name val="Century Schoolbook"/>
      <family val="1"/>
    </font>
    <font>
      <sz val="10"/>
      <name val="Times New Roman"/>
      <family val="1"/>
    </font>
    <font>
      <sz val="8"/>
      <color indexed="8"/>
      <name val="Times New Roman"/>
      <family val="1"/>
    </font>
    <font>
      <sz val="8"/>
      <color indexed="14"/>
      <name val="Times New Roman"/>
      <family val="1"/>
    </font>
    <font>
      <sz val="12"/>
      <name val="Times"/>
    </font>
    <font>
      <sz val="10"/>
      <name val="Palatino"/>
    </font>
    <font>
      <sz val="8"/>
      <color indexed="12"/>
      <name val="Times New Roman"/>
      <family val="1"/>
    </font>
    <font>
      <sz val="24"/>
      <name val="Arial"/>
      <family val="2"/>
    </font>
    <font>
      <sz val="10"/>
      <name val="MS Serif"/>
      <family val="1"/>
    </font>
    <font>
      <sz val="12"/>
      <name val="Times New Roman"/>
      <family val="1"/>
    </font>
    <font>
      <sz val="10"/>
      <name val="Helv"/>
    </font>
    <font>
      <sz val="10"/>
      <color indexed="16"/>
      <name val="MS Serif"/>
      <family val="1"/>
    </font>
    <font>
      <sz val="8"/>
      <name val="Arial"/>
      <family val="2"/>
    </font>
    <font>
      <b/>
      <sz val="12"/>
      <name val="Arial"/>
      <family val="2"/>
    </font>
    <font>
      <sz val="8"/>
      <name val="Times New Roman"/>
      <family val="1"/>
    </font>
    <font>
      <sz val="12"/>
      <name val="Helv"/>
    </font>
    <font>
      <u/>
      <sz val="10"/>
      <name val="GillSans"/>
      <family val="2"/>
    </font>
    <font>
      <sz val="8"/>
      <name val="Helv"/>
    </font>
    <font>
      <sz val="8"/>
      <color indexed="39"/>
      <name val="Arial"/>
      <family val="2"/>
    </font>
    <font>
      <b/>
      <sz val="8"/>
      <name val="Arial"/>
      <family val="2"/>
    </font>
    <font>
      <b/>
      <sz val="12"/>
      <name val="GillSans"/>
      <family val="2"/>
    </font>
    <font>
      <u/>
      <sz val="11"/>
      <name val="GillSans"/>
      <family val="2"/>
    </font>
    <font>
      <u/>
      <sz val="11"/>
      <color theme="1"/>
      <name val="Calibri"/>
      <family val="2"/>
      <scheme val="minor"/>
    </font>
    <font>
      <sz val="11"/>
      <color rgb="FF000000"/>
      <name val="Calibri"/>
      <family val="2"/>
      <scheme val="minor"/>
    </font>
    <font>
      <b/>
      <u/>
      <sz val="9"/>
      <color theme="1"/>
      <name val="Arial"/>
      <family val="2"/>
    </font>
    <font>
      <i/>
      <sz val="9"/>
      <color theme="1"/>
      <name val="Arial"/>
      <family val="2"/>
    </font>
    <font>
      <b/>
      <sz val="9"/>
      <color theme="1"/>
      <name val="Arial"/>
      <family val="2"/>
    </font>
  </fonts>
  <fills count="18">
    <fill>
      <patternFill patternType="none"/>
    </fill>
    <fill>
      <patternFill patternType="gray125"/>
    </fill>
    <fill>
      <patternFill patternType="solid">
        <fgColor indexed="60"/>
        <bgColor indexed="64"/>
      </patternFill>
    </fill>
    <fill>
      <patternFill patternType="solid">
        <fgColor indexed="56"/>
        <bgColor indexed="64"/>
      </patternFill>
    </fill>
    <fill>
      <patternFill patternType="solid">
        <fgColor indexed="62"/>
        <bgColor indexed="64"/>
      </patternFill>
    </fill>
    <fill>
      <patternFill patternType="solid">
        <fgColor indexed="6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lightGray">
        <fgColor indexed="12"/>
      </patternFill>
    </fill>
    <fill>
      <patternFill patternType="solid">
        <fgColor indexed="15"/>
        <bgColor indexed="64"/>
      </patternFill>
    </fill>
    <fill>
      <patternFill patternType="solid">
        <fgColor indexed="26"/>
        <bgColor indexed="64"/>
      </patternFill>
    </fill>
    <fill>
      <patternFill patternType="solid">
        <fgColor theme="0"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745"/>
        <bgColor indexed="64"/>
      </patternFill>
    </fill>
    <fill>
      <patternFill patternType="solid">
        <fgColor theme="0" tint="-4.9989318521683403E-2"/>
        <bgColor indexed="64"/>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9"/>
      </left>
      <right style="thin">
        <color indexed="9"/>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332">
    <xf numFmtId="0" fontId="0" fillId="0" borderId="0"/>
    <xf numFmtId="0" fontId="1" fillId="0" borderId="0"/>
    <xf numFmtId="0" fontId="4" fillId="0" borderId="0" applyAlignment="0"/>
    <xf numFmtId="0" fontId="7" fillId="0" borderId="0" applyAlignment="0"/>
    <xf numFmtId="0" fontId="8" fillId="0" borderId="0" applyAlignment="0"/>
    <xf numFmtId="0" fontId="8" fillId="0" borderId="0" applyAlignment="0"/>
    <xf numFmtId="0" fontId="8" fillId="0" borderId="0" applyAlignment="0"/>
    <xf numFmtId="0" fontId="8" fillId="0" borderId="0" applyAlignment="0"/>
    <xf numFmtId="0" fontId="9" fillId="2" borderId="0" applyAlignment="0"/>
    <xf numFmtId="0" fontId="10" fillId="4" borderId="0" applyAlignment="0"/>
    <xf numFmtId="0" fontId="11" fillId="5" borderId="0" applyAlignment="0"/>
    <xf numFmtId="0" fontId="12" fillId="0" borderId="0" applyAlignment="0"/>
    <xf numFmtId="0" fontId="5" fillId="3" borderId="0" applyAlignment="0"/>
    <xf numFmtId="0" fontId="13" fillId="0" borderId="0" applyAlignment="0"/>
    <xf numFmtId="0" fontId="14" fillId="0" borderId="0" applyAlignment="0"/>
    <xf numFmtId="0" fontId="3" fillId="0" borderId="0" applyAlignment="0"/>
    <xf numFmtId="0" fontId="15" fillId="0" borderId="0" applyAlignment="0"/>
    <xf numFmtId="0" fontId="2" fillId="0" borderId="0" applyAlignment="0"/>
    <xf numFmtId="0" fontId="6" fillId="0" borderId="0" applyAlignment="0"/>
    <xf numFmtId="9" fontId="2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0" fontId="38" fillId="0" borderId="0"/>
    <xf numFmtId="172" fontId="38" fillId="0" borderId="0">
      <alignment horizontal="right"/>
    </xf>
    <xf numFmtId="173" fontId="39" fillId="8" borderId="0"/>
    <xf numFmtId="174" fontId="40" fillId="8" borderId="0"/>
    <xf numFmtId="175" fontId="40" fillId="8" borderId="0"/>
    <xf numFmtId="176" fontId="40" fillId="8" borderId="0"/>
    <xf numFmtId="177" fontId="40" fillId="8" borderId="0">
      <alignment horizontal="right"/>
    </xf>
    <xf numFmtId="178" fontId="41" fillId="0" borderId="0" applyFont="0" applyFill="0" applyBorder="0" applyAlignment="0"/>
    <xf numFmtId="179" fontId="42" fillId="0" borderId="0" applyFont="0" applyFill="0" applyBorder="0" applyAlignment="0" applyProtection="0"/>
    <xf numFmtId="180" fontId="42" fillId="0" borderId="0" applyFont="0" applyFill="0" applyBorder="0" applyAlignment="0" applyProtection="0"/>
    <xf numFmtId="181" fontId="42"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4" fontId="43" fillId="0" borderId="0" applyFont="0" applyFill="0" applyBorder="0" applyAlignment="0" applyProtection="0"/>
    <xf numFmtId="0" fontId="44" fillId="0" borderId="0" applyNumberFormat="0" applyFill="0" applyBorder="0" applyAlignment="0" applyProtection="0"/>
    <xf numFmtId="185" fontId="45" fillId="0" borderId="0" applyFill="0" applyBorder="0" applyAlignment="0"/>
    <xf numFmtId="0" fontId="1" fillId="0" borderId="0">
      <alignment horizontal="center" wrapText="1"/>
      <protection hidden="1"/>
    </xf>
    <xf numFmtId="186" fontId="46" fillId="0" borderId="0" applyFont="0" applyFill="0" applyBorder="0" applyAlignment="0" applyProtection="0"/>
    <xf numFmtId="0" fontId="47" fillId="9" borderId="0">
      <alignment horizontal="center" vertical="center" wrapText="1"/>
    </xf>
    <xf numFmtId="0" fontId="48" fillId="0" borderId="0" applyNumberFormat="0" applyAlignment="0">
      <alignment horizontal="left"/>
    </xf>
    <xf numFmtId="187" fontId="1" fillId="0" borderId="0" applyFill="0" applyBorder="0">
      <alignment horizontal="right"/>
      <protection locked="0"/>
    </xf>
    <xf numFmtId="188" fontId="42" fillId="0" borderId="0" applyFont="0" applyFill="0" applyBorder="0" applyAlignment="0" applyProtection="0"/>
    <xf numFmtId="189" fontId="38" fillId="8" borderId="12">
      <alignment horizontal="right"/>
    </xf>
    <xf numFmtId="190" fontId="40" fillId="8" borderId="12">
      <alignment horizontal="right"/>
    </xf>
    <xf numFmtId="190" fontId="40" fillId="8" borderId="12">
      <alignment horizontal="right"/>
    </xf>
    <xf numFmtId="190" fontId="40" fillId="8" borderId="12">
      <alignment horizontal="right"/>
    </xf>
    <xf numFmtId="189" fontId="38" fillId="8" borderId="12">
      <alignment horizontal="right"/>
    </xf>
    <xf numFmtId="178" fontId="45" fillId="8" borderId="12">
      <alignment horizontal="right"/>
    </xf>
    <xf numFmtId="191" fontId="40" fillId="8" borderId="12">
      <alignment horizontal="right"/>
    </xf>
    <xf numFmtId="190" fontId="40" fillId="8" borderId="12">
      <alignment horizontal="right"/>
    </xf>
    <xf numFmtId="190" fontId="40" fillId="8" borderId="12">
      <alignment horizontal="right"/>
    </xf>
    <xf numFmtId="190" fontId="40" fillId="8" borderId="12">
      <alignment horizontal="right"/>
    </xf>
    <xf numFmtId="178" fontId="45" fillId="8" borderId="12">
      <alignment horizontal="right"/>
    </xf>
    <xf numFmtId="178" fontId="45" fillId="8" borderId="12">
      <alignment horizontal="right"/>
    </xf>
    <xf numFmtId="178" fontId="45" fillId="8" borderId="12">
      <alignment horizontal="right"/>
    </xf>
    <xf numFmtId="190" fontId="40" fillId="8" borderId="12">
      <alignment horizontal="right"/>
    </xf>
    <xf numFmtId="190" fontId="40" fillId="8" borderId="12">
      <alignment horizontal="right"/>
    </xf>
    <xf numFmtId="190" fontId="40" fillId="8" borderId="12">
      <alignment horizontal="right"/>
    </xf>
    <xf numFmtId="178" fontId="45" fillId="8" borderId="12">
      <alignment horizontal="right"/>
    </xf>
    <xf numFmtId="178" fontId="45" fillId="8" borderId="12">
      <alignment horizontal="right"/>
    </xf>
    <xf numFmtId="191" fontId="40" fillId="8" borderId="12">
      <alignment horizontal="right"/>
    </xf>
    <xf numFmtId="190" fontId="40" fillId="8" borderId="12">
      <alignment horizontal="right"/>
    </xf>
    <xf numFmtId="190" fontId="40" fillId="8" borderId="12">
      <alignment horizontal="right"/>
    </xf>
    <xf numFmtId="190" fontId="40" fillId="8" borderId="12">
      <alignment horizontal="right"/>
    </xf>
    <xf numFmtId="178" fontId="45" fillId="8" borderId="12">
      <alignment horizontal="right"/>
    </xf>
    <xf numFmtId="190" fontId="40" fillId="8" borderId="12">
      <alignment horizontal="right"/>
    </xf>
    <xf numFmtId="190" fontId="40" fillId="8" borderId="12">
      <alignment horizontal="right"/>
    </xf>
    <xf numFmtId="190" fontId="40" fillId="8" borderId="12">
      <alignment horizontal="right"/>
    </xf>
    <xf numFmtId="178" fontId="45" fillId="8" borderId="12">
      <alignment horizontal="right"/>
    </xf>
    <xf numFmtId="178" fontId="45" fillId="8" borderId="12">
      <alignment horizontal="right"/>
    </xf>
    <xf numFmtId="178" fontId="45" fillId="8" borderId="12">
      <alignment horizontal="right"/>
    </xf>
    <xf numFmtId="190" fontId="40" fillId="8" borderId="12">
      <alignment horizontal="right"/>
    </xf>
    <xf numFmtId="190" fontId="40" fillId="8" borderId="12">
      <alignment horizontal="right"/>
    </xf>
    <xf numFmtId="190" fontId="40" fillId="8" borderId="12">
      <alignment horizontal="right"/>
    </xf>
    <xf numFmtId="178" fontId="45" fillId="8" borderId="12">
      <alignment horizontal="right"/>
    </xf>
    <xf numFmtId="178" fontId="45" fillId="8" borderId="12">
      <alignment horizontal="right"/>
    </xf>
    <xf numFmtId="190" fontId="40" fillId="8" borderId="12">
      <alignment horizontal="right"/>
    </xf>
    <xf numFmtId="190" fontId="40" fillId="8" borderId="12">
      <alignment horizontal="right"/>
    </xf>
    <xf numFmtId="190" fontId="40" fillId="8" borderId="12">
      <alignment horizontal="right"/>
    </xf>
    <xf numFmtId="190" fontId="40" fillId="8" borderId="12">
      <alignment horizontal="right"/>
    </xf>
    <xf numFmtId="190" fontId="40" fillId="8" borderId="12">
      <alignment horizontal="right"/>
    </xf>
    <xf numFmtId="190" fontId="40" fillId="8" borderId="12">
      <alignment horizontal="right"/>
    </xf>
    <xf numFmtId="178" fontId="45" fillId="8" borderId="12">
      <alignment horizontal="right"/>
    </xf>
    <xf numFmtId="178" fontId="45" fillId="8" borderId="12">
      <alignment horizontal="right"/>
    </xf>
    <xf numFmtId="192" fontId="45" fillId="8" borderId="12">
      <alignment horizontal="right"/>
    </xf>
    <xf numFmtId="192" fontId="45" fillId="8" borderId="12">
      <alignment horizontal="right"/>
    </xf>
    <xf numFmtId="178" fontId="45" fillId="8" borderId="12">
      <alignment horizontal="right"/>
    </xf>
    <xf numFmtId="178" fontId="45" fillId="8" borderId="12">
      <alignment horizontal="right"/>
    </xf>
    <xf numFmtId="190" fontId="40" fillId="8" borderId="12">
      <alignment horizontal="right"/>
    </xf>
    <xf numFmtId="190" fontId="40" fillId="8" borderId="12">
      <alignment horizontal="right"/>
    </xf>
    <xf numFmtId="190" fontId="40" fillId="8" borderId="12">
      <alignment horizontal="right"/>
    </xf>
    <xf numFmtId="189" fontId="38" fillId="8" borderId="12">
      <alignment horizontal="right"/>
    </xf>
    <xf numFmtId="190" fontId="40" fillId="8" borderId="12">
      <alignment horizontal="right"/>
    </xf>
    <xf numFmtId="190" fontId="40" fillId="8" borderId="12">
      <alignment horizontal="right"/>
    </xf>
    <xf numFmtId="190" fontId="40" fillId="8" borderId="12">
      <alignment horizontal="right"/>
    </xf>
    <xf numFmtId="178" fontId="45" fillId="8" borderId="12">
      <alignment horizontal="right"/>
    </xf>
    <xf numFmtId="178" fontId="45" fillId="8" borderId="12">
      <alignment horizontal="right"/>
    </xf>
    <xf numFmtId="192" fontId="45" fillId="8" borderId="12">
      <alignment horizontal="right"/>
    </xf>
    <xf numFmtId="192" fontId="45" fillId="8" borderId="12">
      <alignment horizontal="right"/>
    </xf>
    <xf numFmtId="178" fontId="45" fillId="8" borderId="12">
      <alignment horizontal="right"/>
    </xf>
    <xf numFmtId="178" fontId="45" fillId="8" borderId="12">
      <alignment horizontal="right"/>
    </xf>
    <xf numFmtId="192" fontId="43" fillId="0" borderId="0" applyFont="0" applyFill="0" applyBorder="0" applyAlignment="0" applyProtection="0"/>
    <xf numFmtId="4" fontId="49" fillId="0" borderId="0" applyFont="0" applyFill="0" applyBorder="0" applyAlignment="0" applyProtection="0"/>
    <xf numFmtId="0" fontId="50" fillId="0" borderId="0"/>
    <xf numFmtId="0" fontId="51" fillId="0" borderId="0" applyNumberFormat="0" applyAlignment="0">
      <alignment horizontal="left"/>
    </xf>
    <xf numFmtId="193" fontId="38" fillId="0" borderId="0"/>
    <xf numFmtId="194" fontId="38" fillId="0" borderId="0"/>
    <xf numFmtId="195" fontId="38" fillId="0" borderId="0"/>
    <xf numFmtId="196" fontId="38" fillId="0" borderId="0"/>
    <xf numFmtId="197" fontId="40" fillId="10" borderId="0"/>
    <xf numFmtId="0" fontId="38" fillId="0" borderId="0"/>
    <xf numFmtId="198" fontId="38" fillId="0" borderId="0"/>
    <xf numFmtId="199" fontId="1" fillId="0" borderId="0" applyFont="0" applyFill="0" applyBorder="0" applyAlignment="0" applyProtection="0"/>
    <xf numFmtId="194" fontId="38" fillId="0" borderId="13"/>
    <xf numFmtId="200" fontId="38" fillId="8" borderId="12">
      <alignment horizontal="right"/>
    </xf>
    <xf numFmtId="201" fontId="40" fillId="8" borderId="12">
      <alignment horizontal="right"/>
    </xf>
    <xf numFmtId="201" fontId="40" fillId="8" borderId="12">
      <alignment horizontal="right"/>
    </xf>
    <xf numFmtId="201" fontId="40" fillId="8" borderId="12">
      <alignment horizontal="right"/>
    </xf>
    <xf numFmtId="200" fontId="38" fillId="8" borderId="12">
      <alignment horizontal="right"/>
    </xf>
    <xf numFmtId="202" fontId="45" fillId="8" borderId="12">
      <alignment horizontal="right"/>
    </xf>
    <xf numFmtId="203" fontId="40" fillId="8" borderId="12">
      <alignment horizontal="right"/>
    </xf>
    <xf numFmtId="201" fontId="40" fillId="8" borderId="12">
      <alignment horizontal="right"/>
    </xf>
    <xf numFmtId="201" fontId="40" fillId="8" borderId="12">
      <alignment horizontal="right"/>
    </xf>
    <xf numFmtId="201" fontId="40" fillId="8" borderId="12">
      <alignment horizontal="right"/>
    </xf>
    <xf numFmtId="202" fontId="45" fillId="8" borderId="12">
      <alignment horizontal="right"/>
    </xf>
    <xf numFmtId="204" fontId="45" fillId="8" borderId="12">
      <alignment horizontal="right"/>
    </xf>
    <xf numFmtId="204" fontId="45" fillId="8" borderId="12">
      <alignment horizontal="right"/>
    </xf>
    <xf numFmtId="201" fontId="40" fillId="8" borderId="12">
      <alignment horizontal="right"/>
    </xf>
    <xf numFmtId="201" fontId="40" fillId="8" borderId="12">
      <alignment horizontal="right"/>
    </xf>
    <xf numFmtId="201" fontId="40" fillId="8" borderId="12">
      <alignment horizontal="right"/>
    </xf>
    <xf numFmtId="202" fontId="45" fillId="8" borderId="12">
      <alignment horizontal="right"/>
    </xf>
    <xf numFmtId="202" fontId="45" fillId="8" borderId="12">
      <alignment horizontal="right"/>
    </xf>
    <xf numFmtId="203" fontId="40" fillId="8" borderId="12">
      <alignment horizontal="right"/>
    </xf>
    <xf numFmtId="201" fontId="40" fillId="8" borderId="12">
      <alignment horizontal="right"/>
    </xf>
    <xf numFmtId="201" fontId="40" fillId="8" borderId="12">
      <alignment horizontal="right"/>
    </xf>
    <xf numFmtId="201" fontId="40" fillId="8" borderId="12">
      <alignment horizontal="right"/>
    </xf>
    <xf numFmtId="202" fontId="45" fillId="8" borderId="12">
      <alignment horizontal="right"/>
    </xf>
    <xf numFmtId="201" fontId="40" fillId="8" borderId="12">
      <alignment horizontal="right"/>
    </xf>
    <xf numFmtId="201" fontId="40" fillId="8" borderId="12">
      <alignment horizontal="right"/>
    </xf>
    <xf numFmtId="201" fontId="40" fillId="8" borderId="12">
      <alignment horizontal="right"/>
    </xf>
    <xf numFmtId="202" fontId="45" fillId="8" borderId="12">
      <alignment horizontal="right"/>
    </xf>
    <xf numFmtId="204" fontId="45" fillId="8" borderId="12">
      <alignment horizontal="right"/>
    </xf>
    <xf numFmtId="204" fontId="45" fillId="8" borderId="12">
      <alignment horizontal="right"/>
    </xf>
    <xf numFmtId="201" fontId="40" fillId="8" borderId="12">
      <alignment horizontal="right"/>
    </xf>
    <xf numFmtId="201" fontId="40" fillId="8" borderId="12">
      <alignment horizontal="right"/>
    </xf>
    <xf numFmtId="201" fontId="40" fillId="8" borderId="12">
      <alignment horizontal="right"/>
    </xf>
    <xf numFmtId="202" fontId="45" fillId="8" borderId="12">
      <alignment horizontal="right"/>
    </xf>
    <xf numFmtId="202" fontId="45" fillId="8" borderId="12">
      <alignment horizontal="right"/>
    </xf>
    <xf numFmtId="201" fontId="40" fillId="8" borderId="12">
      <alignment horizontal="right"/>
    </xf>
    <xf numFmtId="201" fontId="40" fillId="8" borderId="12">
      <alignment horizontal="right"/>
    </xf>
    <xf numFmtId="201" fontId="40" fillId="8" borderId="12">
      <alignment horizontal="right"/>
    </xf>
    <xf numFmtId="201" fontId="40" fillId="8" borderId="12">
      <alignment horizontal="right"/>
    </xf>
    <xf numFmtId="201" fontId="40" fillId="8" borderId="12">
      <alignment horizontal="right"/>
    </xf>
    <xf numFmtId="201" fontId="40" fillId="8" borderId="12">
      <alignment horizontal="right"/>
    </xf>
    <xf numFmtId="202" fontId="45" fillId="8" borderId="12">
      <alignment horizontal="right"/>
    </xf>
    <xf numFmtId="202" fontId="45" fillId="8" borderId="12">
      <alignment horizontal="right"/>
    </xf>
    <xf numFmtId="178" fontId="45" fillId="8" borderId="12">
      <alignment horizontal="right"/>
    </xf>
    <xf numFmtId="178" fontId="45" fillId="8" borderId="12">
      <alignment horizontal="right"/>
    </xf>
    <xf numFmtId="204" fontId="45" fillId="8" borderId="12">
      <alignment horizontal="right"/>
    </xf>
    <xf numFmtId="204" fontId="45" fillId="8" borderId="12">
      <alignment horizontal="right"/>
    </xf>
    <xf numFmtId="201" fontId="40" fillId="8" borderId="12">
      <alignment horizontal="right"/>
    </xf>
    <xf numFmtId="201" fontId="40" fillId="8" borderId="12">
      <alignment horizontal="right"/>
    </xf>
    <xf numFmtId="201" fontId="40" fillId="8" borderId="12">
      <alignment horizontal="right"/>
    </xf>
    <xf numFmtId="200" fontId="38" fillId="8" borderId="12">
      <alignment horizontal="right"/>
    </xf>
    <xf numFmtId="201" fontId="40" fillId="8" borderId="12">
      <alignment horizontal="right"/>
    </xf>
    <xf numFmtId="201" fontId="40" fillId="8" borderId="12">
      <alignment horizontal="right"/>
    </xf>
    <xf numFmtId="201" fontId="40" fillId="8" borderId="12">
      <alignment horizontal="right"/>
    </xf>
    <xf numFmtId="202" fontId="45" fillId="8" borderId="12">
      <alignment horizontal="right"/>
    </xf>
    <xf numFmtId="202" fontId="45" fillId="8" borderId="12">
      <alignment horizontal="right"/>
    </xf>
    <xf numFmtId="178" fontId="45" fillId="8" borderId="12">
      <alignment horizontal="right"/>
    </xf>
    <xf numFmtId="178" fontId="45" fillId="8" borderId="12">
      <alignment horizontal="right"/>
    </xf>
    <xf numFmtId="204" fontId="45" fillId="8" borderId="12">
      <alignment horizontal="right"/>
    </xf>
    <xf numFmtId="204" fontId="45" fillId="8" borderId="12">
      <alignment horizontal="right"/>
    </xf>
    <xf numFmtId="38" fontId="52" fillId="8" borderId="0" applyNumberFormat="0" applyBorder="0" applyAlignment="0" applyProtection="0"/>
    <xf numFmtId="0" fontId="53" fillId="0" borderId="14" applyNumberFormat="0" applyAlignment="0" applyProtection="0">
      <alignment horizontal="left" vertical="center"/>
    </xf>
    <xf numFmtId="0" fontId="53" fillId="0" borderId="15">
      <alignment horizontal="left" vertical="center"/>
    </xf>
    <xf numFmtId="10" fontId="52" fillId="11" borderId="3" applyNumberFormat="0" applyBorder="0" applyAlignment="0" applyProtection="0"/>
    <xf numFmtId="0" fontId="1" fillId="0" borderId="0" applyFill="0" applyBorder="0">
      <alignment horizontal="right"/>
      <protection locked="0"/>
    </xf>
    <xf numFmtId="205" fontId="1" fillId="0" borderId="0" applyFill="0" applyBorder="0">
      <alignment horizontal="right"/>
      <protection locked="0"/>
    </xf>
    <xf numFmtId="0" fontId="34" fillId="7" borderId="16">
      <alignment horizontal="left" vertical="center" wrapText="1"/>
    </xf>
    <xf numFmtId="206" fontId="38" fillId="0" borderId="0">
      <alignment horizontal="right"/>
    </xf>
    <xf numFmtId="207" fontId="38" fillId="0" borderId="0">
      <alignment horizontal="right"/>
    </xf>
    <xf numFmtId="208" fontId="1" fillId="0" borderId="0">
      <alignment horizontal="right"/>
    </xf>
    <xf numFmtId="209" fontId="40" fillId="0" borderId="0">
      <alignment horizontal="right"/>
    </xf>
    <xf numFmtId="210" fontId="39" fillId="0" borderId="0">
      <alignment horizontal="right"/>
    </xf>
    <xf numFmtId="208" fontId="1" fillId="0" borderId="0">
      <alignment horizontal="right"/>
    </xf>
    <xf numFmtId="210" fontId="39" fillId="0" borderId="0">
      <alignment horizontal="right"/>
    </xf>
    <xf numFmtId="208" fontId="1" fillId="0" borderId="0">
      <alignment horizontal="right"/>
    </xf>
    <xf numFmtId="210" fontId="39" fillId="0" borderId="0">
      <alignment horizontal="right"/>
    </xf>
    <xf numFmtId="208" fontId="1" fillId="0" borderId="0">
      <alignment horizontal="right"/>
    </xf>
    <xf numFmtId="208" fontId="1" fillId="0" borderId="0">
      <alignment horizontal="right"/>
    </xf>
    <xf numFmtId="210" fontId="39" fillId="0" borderId="0">
      <alignment horizontal="right"/>
    </xf>
    <xf numFmtId="208" fontId="1" fillId="0" borderId="0">
      <alignment horizontal="right"/>
    </xf>
    <xf numFmtId="208" fontId="1" fillId="0" borderId="0">
      <alignment horizontal="right"/>
    </xf>
    <xf numFmtId="208" fontId="1" fillId="0" borderId="0">
      <alignment horizontal="right"/>
    </xf>
    <xf numFmtId="211" fontId="39" fillId="0" borderId="0">
      <alignment horizontal="right"/>
    </xf>
    <xf numFmtId="210" fontId="39" fillId="0" borderId="0">
      <alignment horizontal="right"/>
    </xf>
    <xf numFmtId="208" fontId="1" fillId="0" borderId="0">
      <alignment horizontal="right"/>
    </xf>
    <xf numFmtId="208" fontId="1" fillId="0" borderId="0">
      <alignment horizontal="right"/>
    </xf>
    <xf numFmtId="211" fontId="39" fillId="0" borderId="0">
      <alignment horizontal="right"/>
    </xf>
    <xf numFmtId="210" fontId="39" fillId="0" borderId="0">
      <alignment horizontal="right"/>
    </xf>
    <xf numFmtId="212" fontId="38" fillId="0" borderId="0">
      <alignment horizontal="right"/>
    </xf>
    <xf numFmtId="213" fontId="54" fillId="0" borderId="0" applyFont="0" applyFill="0" applyBorder="0" applyAlignment="0" applyProtection="0"/>
    <xf numFmtId="214" fontId="49" fillId="0" borderId="0" applyFont="0" applyFill="0" applyBorder="0" applyAlignment="0" applyProtection="0"/>
    <xf numFmtId="215" fontId="54" fillId="0" borderId="0" applyFont="0" applyFill="0" applyBorder="0" applyAlignment="0" applyProtection="0"/>
    <xf numFmtId="216" fontId="49" fillId="0" borderId="0" applyFont="0" applyFill="0" applyBorder="0" applyAlignment="0" applyProtection="0"/>
    <xf numFmtId="217" fontId="49" fillId="0" borderId="0" applyFont="0" applyFill="0" applyBorder="0" applyAlignment="0" applyProtection="0"/>
    <xf numFmtId="218" fontId="49" fillId="0" borderId="0" applyFont="0" applyFill="0" applyBorder="0" applyAlignment="0" applyProtection="0"/>
    <xf numFmtId="219" fontId="40" fillId="0" borderId="0"/>
    <xf numFmtId="0" fontId="45" fillId="0" borderId="0" applyNumberFormat="0" applyFill="0" applyBorder="0" applyAlignment="0" applyProtection="0"/>
    <xf numFmtId="220" fontId="38" fillId="0" borderId="0"/>
    <xf numFmtId="221" fontId="38" fillId="0" borderId="0"/>
    <xf numFmtId="9" fontId="49" fillId="0" borderId="0" applyFont="0" applyFill="0" applyBorder="0" applyAlignment="0" applyProtection="0"/>
    <xf numFmtId="222" fontId="49" fillId="0" borderId="0" applyFont="0" applyFill="0" applyBorder="0" applyAlignment="0" applyProtection="0"/>
    <xf numFmtId="223" fontId="49" fillId="0" borderId="0" applyFont="0" applyFill="0" applyBorder="0" applyAlignment="0" applyProtection="0"/>
    <xf numFmtId="10" fontId="1" fillId="0" borderId="0" applyFont="0" applyFill="0" applyBorder="0" applyAlignment="0" applyProtection="0"/>
    <xf numFmtId="224" fontId="1" fillId="0" borderId="0" applyFill="0" applyBorder="0">
      <alignment horizontal="right"/>
      <protection locked="0"/>
    </xf>
    <xf numFmtId="225" fontId="38" fillId="0" borderId="0">
      <alignment horizontal="right"/>
    </xf>
    <xf numFmtId="0" fontId="55" fillId="0" borderId="0" applyNumberFormat="0" applyFont="0" applyAlignment="0">
      <alignment horizontal="left"/>
    </xf>
    <xf numFmtId="226" fontId="40" fillId="8" borderId="0"/>
    <xf numFmtId="0" fontId="40" fillId="8" borderId="0"/>
    <xf numFmtId="226" fontId="40" fillId="8" borderId="0"/>
    <xf numFmtId="0" fontId="40" fillId="8" borderId="0"/>
    <xf numFmtId="227" fontId="38" fillId="8" borderId="0"/>
    <xf numFmtId="228" fontId="45" fillId="8" borderId="0"/>
    <xf numFmtId="229" fontId="40" fillId="8" borderId="0"/>
    <xf numFmtId="0"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228" fontId="45" fillId="8" borderId="0"/>
    <xf numFmtId="227" fontId="38" fillId="8" borderId="0"/>
    <xf numFmtId="227" fontId="38" fillId="8" borderId="0"/>
    <xf numFmtId="0"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228" fontId="45" fillId="8" borderId="0"/>
    <xf numFmtId="228" fontId="45" fillId="8" borderId="0"/>
    <xf numFmtId="229" fontId="40" fillId="8" borderId="0"/>
    <xf numFmtId="226" fontId="40" fillId="8" borderId="0"/>
    <xf numFmtId="0" fontId="40" fillId="8" borderId="0"/>
    <xf numFmtId="226" fontId="40" fillId="8" borderId="0"/>
    <xf numFmtId="0" fontId="40" fillId="8" borderId="0"/>
    <xf numFmtId="228" fontId="45" fillId="8" borderId="0"/>
    <xf numFmtId="0"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228" fontId="45" fillId="8" borderId="0"/>
    <xf numFmtId="0"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228" fontId="45" fillId="8" borderId="0"/>
    <xf numFmtId="228" fontId="45" fillId="8" borderId="0"/>
    <xf numFmtId="0"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0" fontId="40" fillId="8" borderId="0"/>
    <xf numFmtId="226" fontId="40" fillId="8" borderId="0"/>
    <xf numFmtId="0" fontId="40" fillId="8" borderId="0"/>
    <xf numFmtId="228" fontId="45" fillId="8" borderId="0"/>
    <xf numFmtId="228" fontId="45" fillId="8" borderId="0"/>
    <xf numFmtId="230" fontId="45" fillId="8" borderId="0"/>
    <xf numFmtId="230" fontId="45" fillId="8" borderId="0"/>
    <xf numFmtId="0"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227" fontId="38" fillId="8" borderId="0"/>
    <xf numFmtId="0" fontId="40" fillId="8" borderId="0"/>
    <xf numFmtId="226" fontId="40" fillId="8" borderId="0"/>
    <xf numFmtId="226" fontId="40" fillId="8" borderId="0"/>
    <xf numFmtId="226" fontId="40" fillId="8" borderId="0"/>
    <xf numFmtId="226" fontId="40" fillId="8" borderId="0"/>
    <xf numFmtId="226" fontId="40" fillId="8" borderId="0"/>
    <xf numFmtId="226" fontId="40" fillId="8" borderId="0"/>
    <xf numFmtId="228" fontId="45" fillId="8" borderId="0"/>
    <xf numFmtId="228" fontId="45" fillId="8" borderId="0"/>
    <xf numFmtId="230" fontId="45" fillId="8" borderId="0"/>
    <xf numFmtId="230" fontId="45" fillId="8" borderId="0"/>
    <xf numFmtId="0" fontId="56" fillId="0" borderId="0">
      <alignment horizontal="center"/>
    </xf>
    <xf numFmtId="0" fontId="38" fillId="0" borderId="2">
      <alignment horizontal="centerContinuous"/>
    </xf>
    <xf numFmtId="231" fontId="45" fillId="8" borderId="0">
      <alignment horizontal="right"/>
    </xf>
    <xf numFmtId="232" fontId="39" fillId="0" borderId="0">
      <alignment horizontal="center"/>
    </xf>
    <xf numFmtId="233" fontId="38" fillId="8" borderId="12">
      <alignment horizontal="right"/>
    </xf>
    <xf numFmtId="234" fontId="1" fillId="0" borderId="0">
      <alignment horizontal="right"/>
      <protection locked="0"/>
    </xf>
    <xf numFmtId="235" fontId="57" fillId="0" borderId="0" applyNumberFormat="0" applyFill="0" applyBorder="0" applyAlignment="0" applyProtection="0">
      <alignment horizontal="left"/>
    </xf>
    <xf numFmtId="0" fontId="53" fillId="9" borderId="3">
      <alignment horizontal="center" vertical="center" wrapText="1"/>
      <protection hidden="1"/>
    </xf>
    <xf numFmtId="0" fontId="34" fillId="0" borderId="0" applyNumberFormat="0" applyFill="0" applyBorder="0" applyProtection="0">
      <alignment horizontal="left"/>
    </xf>
    <xf numFmtId="175" fontId="52" fillId="0" borderId="0" applyFill="0" applyBorder="0" applyProtection="0">
      <alignment horizontal="right" vertical="top"/>
    </xf>
    <xf numFmtId="236" fontId="52" fillId="0" borderId="0" applyFill="0" applyBorder="0" applyProtection="0">
      <alignment horizontal="right" wrapText="1"/>
    </xf>
    <xf numFmtId="14" fontId="52" fillId="0" borderId="0" applyFill="0" applyBorder="0" applyProtection="0">
      <alignment horizontal="left" vertical="top"/>
    </xf>
    <xf numFmtId="237" fontId="52" fillId="0" borderId="0" applyFill="0" applyBorder="0" applyProtection="0">
      <alignment horizontal="right"/>
    </xf>
    <xf numFmtId="237" fontId="52" fillId="0" borderId="0" applyFill="0" applyBorder="0" applyProtection="0">
      <alignment horizontal="right"/>
    </xf>
    <xf numFmtId="0" fontId="52" fillId="0" borderId="0" applyNumberFormat="0" applyFill="0" applyBorder="0" applyProtection="0">
      <alignment horizontal="left" vertical="top" wrapText="1"/>
    </xf>
    <xf numFmtId="238" fontId="58" fillId="0" borderId="0" applyFill="0" applyBorder="0" applyProtection="0">
      <alignment horizontal="center" wrapText="1"/>
    </xf>
    <xf numFmtId="239" fontId="58" fillId="0" borderId="0" applyFill="0" applyBorder="0" applyProtection="0">
      <alignment horizontal="right" wrapText="1"/>
    </xf>
    <xf numFmtId="236" fontId="58" fillId="0" borderId="0" applyFill="0" applyBorder="0" applyProtection="0">
      <alignment horizontal="right" wrapText="1"/>
    </xf>
    <xf numFmtId="240" fontId="58" fillId="0" borderId="0" applyFill="0" applyBorder="0" applyProtection="0">
      <alignment horizontal="right" wrapText="1"/>
    </xf>
    <xf numFmtId="237" fontId="58" fillId="0" borderId="0" applyFill="0" applyBorder="0" applyProtection="0">
      <alignment horizontal="right"/>
    </xf>
    <xf numFmtId="14" fontId="58" fillId="0" borderId="0" applyFill="0" applyBorder="0" applyProtection="0">
      <alignment horizontal="right"/>
    </xf>
    <xf numFmtId="0" fontId="59" fillId="0" borderId="17" applyNumberFormat="0" applyFill="0" applyProtection="0">
      <alignment wrapText="1"/>
    </xf>
    <xf numFmtId="0" fontId="34" fillId="0" borderId="0" applyNumberFormat="0" applyFill="0" applyBorder="0" applyProtection="0">
      <alignment wrapText="1"/>
    </xf>
    <xf numFmtId="0" fontId="59" fillId="0" borderId="17" applyNumberFormat="0" applyFill="0" applyProtection="0">
      <alignment horizontal="center" wrapText="1"/>
    </xf>
    <xf numFmtId="40" fontId="1" fillId="0" borderId="0" applyBorder="0">
      <alignment horizontal="right"/>
    </xf>
    <xf numFmtId="49" fontId="60" fillId="0" borderId="0"/>
    <xf numFmtId="0" fontId="1" fillId="0" borderId="0" applyBorder="0"/>
    <xf numFmtId="0" fontId="61" fillId="0" borderId="0"/>
  </cellStyleXfs>
  <cellXfs count="290">
    <xf numFmtId="0" fontId="0" fillId="0" borderId="0" xfId="0"/>
    <xf numFmtId="0" fontId="16" fillId="0" borderId="0" xfId="0" applyFont="1"/>
    <xf numFmtId="0" fontId="17" fillId="0" borderId="0" xfId="0" applyFont="1"/>
    <xf numFmtId="0" fontId="18" fillId="0" borderId="0" xfId="0" applyFont="1"/>
    <xf numFmtId="0" fontId="19" fillId="0" borderId="0" xfId="0" applyFont="1"/>
    <xf numFmtId="0" fontId="22" fillId="0" borderId="0" xfId="0" applyFont="1" applyAlignment="1">
      <alignment horizontal="left" indent="1"/>
    </xf>
    <xf numFmtId="164" fontId="23" fillId="0" borderId="0" xfId="0" applyNumberFormat="1" applyFont="1"/>
    <xf numFmtId="165" fontId="17" fillId="0" borderId="0" xfId="0" applyNumberFormat="1" applyFont="1"/>
    <xf numFmtId="166" fontId="17" fillId="0" borderId="0" xfId="0" applyNumberFormat="1" applyFont="1"/>
    <xf numFmtId="167" fontId="16" fillId="0" borderId="0" xfId="0" applyNumberFormat="1" applyFont="1"/>
    <xf numFmtId="0" fontId="16" fillId="0" borderId="0" xfId="0" applyFont="1" applyAlignment="1">
      <alignment horizontal="centerContinuous"/>
    </xf>
    <xf numFmtId="0" fontId="1" fillId="0" borderId="0" xfId="0" applyFont="1"/>
    <xf numFmtId="9" fontId="22" fillId="0" borderId="0" xfId="19" applyFont="1"/>
    <xf numFmtId="9" fontId="22" fillId="0" borderId="0" xfId="19" applyFont="1" applyAlignment="1">
      <alignment horizontal="left" indent="1"/>
    </xf>
    <xf numFmtId="167" fontId="18" fillId="0" borderId="0" xfId="0" applyNumberFormat="1" applyFont="1"/>
    <xf numFmtId="167" fontId="1" fillId="0" borderId="0" xfId="0" applyNumberFormat="1" applyFont="1"/>
    <xf numFmtId="9" fontId="18" fillId="0" borderId="0" xfId="19" applyFont="1"/>
    <xf numFmtId="0" fontId="17" fillId="0" borderId="0" xfId="0" applyFont="1" applyAlignment="1">
      <alignment horizontal="centerContinuous"/>
    </xf>
    <xf numFmtId="1" fontId="1" fillId="0" borderId="0" xfId="0" applyNumberFormat="1" applyFont="1"/>
    <xf numFmtId="1" fontId="16" fillId="0" borderId="0" xfId="0" applyNumberFormat="1" applyFont="1"/>
    <xf numFmtId="0" fontId="25" fillId="0" borderId="0" xfId="0" applyFont="1"/>
    <xf numFmtId="0" fontId="26" fillId="0" borderId="0" xfId="0" applyFont="1"/>
    <xf numFmtId="167" fontId="26" fillId="0" borderId="0" xfId="0" applyNumberFormat="1" applyFont="1"/>
    <xf numFmtId="9" fontId="23" fillId="0" borderId="0" xfId="19" applyFont="1"/>
    <xf numFmtId="2" fontId="16" fillId="0" borderId="0" xfId="0" applyNumberFormat="1" applyFont="1"/>
    <xf numFmtId="167" fontId="25" fillId="0" borderId="0" xfId="0" applyNumberFormat="1" applyFont="1"/>
    <xf numFmtId="0" fontId="16" fillId="0" borderId="1" xfId="0" applyFont="1" applyBorder="1"/>
    <xf numFmtId="167" fontId="1" fillId="0" borderId="1" xfId="0" applyNumberFormat="1" applyFont="1" applyBorder="1"/>
    <xf numFmtId="14" fontId="25" fillId="0" borderId="0" xfId="0" applyNumberFormat="1" applyFont="1"/>
    <xf numFmtId="44" fontId="25" fillId="0" borderId="0" xfId="20" applyFont="1"/>
    <xf numFmtId="167" fontId="16" fillId="0" borderId="1" xfId="0" applyNumberFormat="1" applyFont="1" applyBorder="1"/>
    <xf numFmtId="0" fontId="22" fillId="0" borderId="1" xfId="0" applyFont="1" applyBorder="1"/>
    <xf numFmtId="9" fontId="22" fillId="0" borderId="0" xfId="0" applyNumberFormat="1" applyFont="1"/>
    <xf numFmtId="0" fontId="22" fillId="0" borderId="0" xfId="0" applyFont="1" applyAlignment="1">
      <alignment horizontal="center"/>
    </xf>
    <xf numFmtId="0" fontId="16" fillId="0" borderId="0" xfId="0" applyFont="1" applyAlignment="1">
      <alignment horizontal="center"/>
    </xf>
    <xf numFmtId="164" fontId="16" fillId="0" borderId="1" xfId="0" applyNumberFormat="1" applyFont="1" applyBorder="1"/>
    <xf numFmtId="9" fontId="27" fillId="0" borderId="0" xfId="19" applyFont="1"/>
    <xf numFmtId="9" fontId="28" fillId="0" borderId="0" xfId="19" applyFont="1"/>
    <xf numFmtId="168" fontId="18" fillId="0" borderId="0" xfId="0" applyNumberFormat="1" applyFont="1"/>
    <xf numFmtId="167" fontId="26" fillId="0" borderId="1" xfId="0" applyNumberFormat="1" applyFont="1" applyBorder="1"/>
    <xf numFmtId="0" fontId="16" fillId="0" borderId="0" xfId="0" applyFont="1" applyBorder="1"/>
    <xf numFmtId="167" fontId="26" fillId="0" borderId="0" xfId="0" applyNumberFormat="1" applyFont="1" applyBorder="1"/>
    <xf numFmtId="0" fontId="16" fillId="0" borderId="0" xfId="0" applyFont="1" applyAlignment="1">
      <alignment horizontal="left" indent="1"/>
    </xf>
    <xf numFmtId="0" fontId="18" fillId="0" borderId="1" xfId="0" applyFont="1" applyBorder="1"/>
    <xf numFmtId="167" fontId="18" fillId="0" borderId="1" xfId="0" applyNumberFormat="1" applyFont="1" applyBorder="1"/>
    <xf numFmtId="2" fontId="16" fillId="0" borderId="1" xfId="0" applyNumberFormat="1" applyFont="1" applyBorder="1"/>
    <xf numFmtId="167" fontId="17" fillId="0" borderId="0" xfId="0" applyNumberFormat="1" applyFont="1"/>
    <xf numFmtId="10" fontId="18" fillId="0" borderId="0" xfId="19" applyNumberFormat="1" applyFont="1"/>
    <xf numFmtId="10" fontId="18" fillId="0" borderId="0" xfId="0" applyNumberFormat="1" applyFont="1"/>
    <xf numFmtId="9" fontId="16" fillId="0" borderId="0" xfId="19" applyFont="1"/>
    <xf numFmtId="164" fontId="16" fillId="0" borderId="0" xfId="19" applyNumberFormat="1" applyFont="1"/>
    <xf numFmtId="10" fontId="25" fillId="0" borderId="0" xfId="0" applyNumberFormat="1" applyFont="1"/>
    <xf numFmtId="10" fontId="16" fillId="0" borderId="0" xfId="0" applyNumberFormat="1" applyFont="1"/>
    <xf numFmtId="10" fontId="16" fillId="0" borderId="1" xfId="19" applyNumberFormat="1" applyFont="1" applyBorder="1"/>
    <xf numFmtId="0" fontId="26" fillId="0" borderId="0" xfId="0" applyFont="1" applyBorder="1"/>
    <xf numFmtId="0" fontId="22" fillId="0" borderId="0" xfId="0" applyFont="1"/>
    <xf numFmtId="164" fontId="23" fillId="0" borderId="0" xfId="19" applyNumberFormat="1" applyFont="1"/>
    <xf numFmtId="164" fontId="28" fillId="0" borderId="0" xfId="19" applyNumberFormat="1" applyFont="1"/>
    <xf numFmtId="0" fontId="16" fillId="0" borderId="2" xfId="0" applyFont="1" applyBorder="1"/>
    <xf numFmtId="2" fontId="18" fillId="0" borderId="2" xfId="0" applyNumberFormat="1" applyFont="1" applyBorder="1"/>
    <xf numFmtId="0" fontId="22" fillId="0" borderId="0" xfId="0" applyFont="1" applyAlignment="1">
      <alignment horizontal="left"/>
    </xf>
    <xf numFmtId="167" fontId="22" fillId="0" borderId="0" xfId="0" applyNumberFormat="1" applyFont="1"/>
    <xf numFmtId="167" fontId="27" fillId="0" borderId="0" xfId="0" applyNumberFormat="1" applyFont="1"/>
    <xf numFmtId="167" fontId="28" fillId="0" borderId="0" xfId="0" applyNumberFormat="1" applyFont="1"/>
    <xf numFmtId="167" fontId="1" fillId="0" borderId="0" xfId="0" applyNumberFormat="1" applyFont="1" applyBorder="1"/>
    <xf numFmtId="167" fontId="25" fillId="0" borderId="0" xfId="0" applyNumberFormat="1" applyFont="1" applyBorder="1"/>
    <xf numFmtId="0" fontId="22" fillId="0" borderId="0" xfId="0" applyFont="1" applyBorder="1"/>
    <xf numFmtId="167" fontId="16" fillId="0" borderId="0" xfId="0" applyNumberFormat="1" applyFont="1" applyBorder="1"/>
    <xf numFmtId="170" fontId="1" fillId="0" borderId="0" xfId="0" applyNumberFormat="1" applyFont="1"/>
    <xf numFmtId="169" fontId="25" fillId="0" borderId="0" xfId="0" applyNumberFormat="1" applyFont="1"/>
    <xf numFmtId="169" fontId="26" fillId="0" borderId="0" xfId="0" applyNumberFormat="1" applyFont="1"/>
    <xf numFmtId="2" fontId="18" fillId="0" borderId="0" xfId="0" applyNumberFormat="1" applyFont="1" applyFill="1"/>
    <xf numFmtId="0" fontId="17" fillId="0" borderId="3" xfId="0" applyFont="1" applyBorder="1" applyAlignment="1">
      <alignment horizontal="center"/>
    </xf>
    <xf numFmtId="168" fontId="1" fillId="0" borderId="0" xfId="0" applyNumberFormat="1" applyFont="1"/>
    <xf numFmtId="9" fontId="1" fillId="0" borderId="0" xfId="19" applyFont="1"/>
    <xf numFmtId="0" fontId="30" fillId="0" borderId="0" xfId="0" applyFont="1"/>
    <xf numFmtId="0" fontId="31" fillId="0" borderId="0" xfId="0" applyFont="1"/>
    <xf numFmtId="167" fontId="25" fillId="0" borderId="0" xfId="0" applyNumberFormat="1" applyFont="1" applyFill="1" applyBorder="1"/>
    <xf numFmtId="170" fontId="18" fillId="0" borderId="0" xfId="0" applyNumberFormat="1" applyFont="1" applyFill="1"/>
    <xf numFmtId="10" fontId="25" fillId="0" borderId="0" xfId="19" applyNumberFormat="1" applyFont="1"/>
    <xf numFmtId="10" fontId="16" fillId="0" borderId="0" xfId="19" applyNumberFormat="1" applyFont="1" applyBorder="1" applyAlignment="1">
      <alignment vertical="center"/>
    </xf>
    <xf numFmtId="44" fontId="16" fillId="0" borderId="4" xfId="20" applyFont="1" applyBorder="1" applyAlignment="1">
      <alignment vertical="center"/>
    </xf>
    <xf numFmtId="44" fontId="16" fillId="0" borderId="5" xfId="20" applyFont="1" applyBorder="1" applyAlignment="1">
      <alignment vertical="center"/>
    </xf>
    <xf numFmtId="44" fontId="16" fillId="0" borderId="6" xfId="20" applyFont="1" applyBorder="1" applyAlignment="1">
      <alignment vertical="center"/>
    </xf>
    <xf numFmtId="44" fontId="16" fillId="0" borderId="7" xfId="20" applyFont="1" applyBorder="1" applyAlignment="1">
      <alignment vertical="center"/>
    </xf>
    <xf numFmtId="44" fontId="16" fillId="0" borderId="0" xfId="20" applyFont="1" applyBorder="1" applyAlignment="1">
      <alignment vertical="center"/>
    </xf>
    <xf numFmtId="44" fontId="16" fillId="0" borderId="8" xfId="20" applyFont="1" applyBorder="1" applyAlignment="1">
      <alignment vertical="center"/>
    </xf>
    <xf numFmtId="44" fontId="16" fillId="0" borderId="9" xfId="20" applyFont="1" applyBorder="1" applyAlignment="1">
      <alignment vertical="center"/>
    </xf>
    <xf numFmtId="44" fontId="16" fillId="0" borderId="10" xfId="20" applyFont="1" applyBorder="1" applyAlignment="1">
      <alignment vertical="center"/>
    </xf>
    <xf numFmtId="44" fontId="16" fillId="0" borderId="11" xfId="20" applyFont="1" applyBorder="1" applyAlignment="1">
      <alignment vertical="center"/>
    </xf>
    <xf numFmtId="170" fontId="1" fillId="0" borderId="1" xfId="0" applyNumberFormat="1" applyFont="1" applyFill="1" applyBorder="1" applyAlignment="1">
      <alignment horizontal="center" vertical="center"/>
    </xf>
    <xf numFmtId="0" fontId="16" fillId="0" borderId="0" xfId="0" applyFont="1" applyAlignment="1">
      <alignment vertical="center"/>
    </xf>
    <xf numFmtId="44" fontId="32" fillId="6" borderId="0" xfId="20" applyFont="1" applyFill="1" applyAlignment="1">
      <alignment vertical="center"/>
    </xf>
    <xf numFmtId="0" fontId="16" fillId="0" borderId="3" xfId="0" applyFont="1" applyBorder="1" applyAlignment="1">
      <alignment horizontal="center"/>
    </xf>
    <xf numFmtId="1" fontId="26" fillId="0" borderId="0" xfId="0" applyNumberFormat="1" applyFont="1" applyBorder="1"/>
    <xf numFmtId="1" fontId="26" fillId="0" borderId="0" xfId="0" applyNumberFormat="1" applyFont="1"/>
    <xf numFmtId="1" fontId="18" fillId="0" borderId="0" xfId="0" applyNumberFormat="1" applyFont="1"/>
    <xf numFmtId="0" fontId="1" fillId="0" borderId="0" xfId="1"/>
    <xf numFmtId="171" fontId="1" fillId="0" borderId="0" xfId="1" applyNumberFormat="1"/>
    <xf numFmtId="0" fontId="35" fillId="0" borderId="0" xfId="1" applyFont="1" applyAlignment="1">
      <alignment horizontal="center"/>
    </xf>
    <xf numFmtId="0" fontId="0" fillId="0" borderId="0" xfId="0" applyBorder="1"/>
    <xf numFmtId="0" fontId="0" fillId="0" borderId="0" xfId="0" applyFont="1"/>
    <xf numFmtId="167" fontId="0" fillId="0" borderId="0" xfId="0" applyNumberFormat="1" applyFont="1" applyAlignment="1">
      <alignment horizontal="right"/>
    </xf>
    <xf numFmtId="167" fontId="0" fillId="12" borderId="0" xfId="0" applyNumberFormat="1" applyFont="1" applyFill="1"/>
    <xf numFmtId="167" fontId="0" fillId="12" borderId="0" xfId="0" applyNumberFormat="1" applyFont="1" applyFill="1" applyAlignment="1">
      <alignment horizontal="right"/>
    </xf>
    <xf numFmtId="0" fontId="0" fillId="12" borderId="0" xfId="0" applyFont="1" applyFill="1"/>
    <xf numFmtId="0" fontId="62" fillId="12" borderId="0" xfId="0" applyFont="1" applyFill="1"/>
    <xf numFmtId="241" fontId="0" fillId="0" borderId="0" xfId="0" applyNumberFormat="1" applyFont="1"/>
    <xf numFmtId="14" fontId="0" fillId="0" borderId="0" xfId="0" applyNumberFormat="1" applyFont="1" applyAlignment="1">
      <alignment horizontal="left"/>
    </xf>
    <xf numFmtId="241" fontId="0" fillId="0" borderId="0" xfId="0" applyNumberFormat="1" applyFont="1" applyAlignment="1" applyProtection="1">
      <alignment vertical="top" wrapText="1"/>
    </xf>
    <xf numFmtId="0" fontId="0" fillId="6" borderId="0" xfId="0" applyFont="1" applyFill="1"/>
    <xf numFmtId="14" fontId="0" fillId="0" borderId="0" xfId="0" applyNumberFormat="1" applyFont="1" applyAlignment="1" applyProtection="1">
      <alignment horizontal="left" vertical="top" wrapText="1"/>
    </xf>
    <xf numFmtId="0" fontId="63" fillId="0" borderId="0" xfId="0" applyFont="1" applyAlignment="1">
      <alignment horizontal="right"/>
    </xf>
    <xf numFmtId="4" fontId="63" fillId="0" borderId="0" xfId="0" applyNumberFormat="1" applyFont="1"/>
    <xf numFmtId="0" fontId="0" fillId="0" borderId="0" xfId="0" applyFont="1" applyBorder="1"/>
    <xf numFmtId="0" fontId="0" fillId="6" borderId="0" xfId="0" applyFont="1" applyFill="1" applyBorder="1"/>
    <xf numFmtId="14" fontId="0" fillId="0" borderId="0" xfId="0" applyNumberFormat="1" applyFont="1" applyBorder="1" applyAlignment="1" applyProtection="1">
      <alignment horizontal="left" vertical="top" wrapText="1"/>
    </xf>
    <xf numFmtId="4" fontId="0" fillId="0" borderId="0" xfId="21" applyNumberFormat="1" applyFont="1" applyAlignment="1">
      <alignment horizontal="right"/>
    </xf>
    <xf numFmtId="0" fontId="33" fillId="13" borderId="18" xfId="0" applyFont="1" applyFill="1" applyBorder="1"/>
    <xf numFmtId="0" fontId="33" fillId="13" borderId="19" xfId="0" applyFont="1" applyFill="1" applyBorder="1" applyAlignment="1">
      <alignment horizontal="center"/>
    </xf>
    <xf numFmtId="0" fontId="33" fillId="13" borderId="20" xfId="0" applyFont="1" applyFill="1" applyBorder="1"/>
    <xf numFmtId="0" fontId="33" fillId="13" borderId="19" xfId="0" applyFont="1" applyFill="1" applyBorder="1"/>
    <xf numFmtId="0" fontId="0" fillId="13" borderId="0" xfId="0" applyFont="1" applyFill="1" applyBorder="1"/>
    <xf numFmtId="0" fontId="33" fillId="13" borderId="0" xfId="0" applyFont="1" applyFill="1" applyBorder="1"/>
    <xf numFmtId="0" fontId="33" fillId="13" borderId="0" xfId="0" applyFont="1" applyFill="1"/>
    <xf numFmtId="167" fontId="0" fillId="0" borderId="0" xfId="0" applyNumberFormat="1"/>
    <xf numFmtId="241" fontId="0" fillId="0" borderId="0" xfId="0" applyNumberFormat="1" applyAlignment="1" applyProtection="1">
      <alignment vertical="top" wrapText="1"/>
    </xf>
    <xf numFmtId="167" fontId="0" fillId="0" borderId="0" xfId="0" applyNumberFormat="1" applyProtection="1"/>
    <xf numFmtId="3" fontId="0" fillId="0" borderId="0" xfId="0" applyNumberFormat="1"/>
    <xf numFmtId="242" fontId="0" fillId="0" borderId="0" xfId="0" applyNumberFormat="1" applyAlignment="1" applyProtection="1">
      <alignment vertical="top" wrapText="1"/>
    </xf>
    <xf numFmtId="243" fontId="0" fillId="0" borderId="0" xfId="0" applyNumberFormat="1" applyAlignment="1" applyProtection="1">
      <alignment vertical="top" wrapText="1"/>
    </xf>
    <xf numFmtId="0" fontId="0" fillId="0" borderId="0" xfId="0" applyAlignment="1" applyProtection="1">
      <alignment vertical="top" wrapText="1"/>
    </xf>
    <xf numFmtId="4" fontId="0" fillId="0" borderId="0" xfId="0" applyNumberFormat="1"/>
    <xf numFmtId="14" fontId="0" fillId="0" borderId="0" xfId="0" applyNumberFormat="1"/>
    <xf numFmtId="0" fontId="0" fillId="0" borderId="0" xfId="0" applyProtection="1"/>
    <xf numFmtId="244" fontId="0" fillId="0" borderId="0" xfId="0" applyNumberFormat="1" applyAlignment="1" applyProtection="1">
      <alignment vertical="top" wrapText="1"/>
    </xf>
    <xf numFmtId="245" fontId="0" fillId="0" borderId="0" xfId="0" applyNumberFormat="1" applyAlignment="1" applyProtection="1">
      <alignment vertical="top" wrapText="1"/>
    </xf>
    <xf numFmtId="246" fontId="0" fillId="0" borderId="0" xfId="0" applyNumberFormat="1" applyAlignment="1" applyProtection="1">
      <alignment vertical="top" wrapText="1"/>
    </xf>
    <xf numFmtId="247" fontId="0" fillId="0" borderId="0" xfId="0" applyNumberFormat="1" applyAlignment="1" applyProtection="1">
      <alignment vertical="top" wrapText="1"/>
    </xf>
    <xf numFmtId="235" fontId="0" fillId="0" borderId="0" xfId="0" applyNumberFormat="1" applyAlignment="1" applyProtection="1">
      <alignment vertical="top" wrapText="1"/>
    </xf>
    <xf numFmtId="0" fontId="1" fillId="0" borderId="0" xfId="0" applyFont="1" applyAlignment="1" applyProtection="1">
      <alignment vertical="top"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6" fillId="0" borderId="0" xfId="0" applyFont="1" applyAlignment="1">
      <alignment horizontal="right"/>
    </xf>
    <xf numFmtId="7" fontId="16" fillId="0" borderId="0" xfId="0" applyNumberFormat="1" applyFont="1" applyAlignment="1">
      <alignment horizontal="right"/>
    </xf>
    <xf numFmtId="2" fontId="16" fillId="0" borderId="0" xfId="0" applyNumberFormat="1" applyFont="1" applyAlignment="1">
      <alignment horizontal="right"/>
    </xf>
    <xf numFmtId="167" fontId="17" fillId="0" borderId="21" xfId="0" applyNumberFormat="1" applyFont="1" applyBorder="1"/>
    <xf numFmtId="167" fontId="17" fillId="0" borderId="2" xfId="0" applyNumberFormat="1" applyFont="1" applyBorder="1"/>
    <xf numFmtId="0" fontId="17" fillId="0" borderId="2" xfId="0" applyFont="1" applyBorder="1"/>
    <xf numFmtId="0" fontId="17" fillId="0" borderId="22" xfId="0" applyFont="1" applyBorder="1"/>
    <xf numFmtId="167" fontId="17" fillId="0" borderId="12" xfId="0" applyNumberFormat="1" applyFont="1" applyBorder="1"/>
    <xf numFmtId="167" fontId="17" fillId="0" borderId="0" xfId="0" applyNumberFormat="1" applyFont="1" applyBorder="1"/>
    <xf numFmtId="0" fontId="17" fillId="0" borderId="0" xfId="0" applyFont="1" applyBorder="1"/>
    <xf numFmtId="0" fontId="17" fillId="0" borderId="0" xfId="0" applyFont="1" applyBorder="1" applyAlignment="1">
      <alignment horizontal="right"/>
    </xf>
    <xf numFmtId="0" fontId="17" fillId="0" borderId="23" xfId="0" applyFont="1" applyBorder="1"/>
    <xf numFmtId="2" fontId="17" fillId="0" borderId="0" xfId="0" applyNumberFormat="1" applyFont="1" applyBorder="1" applyAlignment="1">
      <alignment horizontal="right"/>
    </xf>
    <xf numFmtId="0" fontId="17" fillId="0" borderId="23" xfId="0" applyFont="1" applyBorder="1" applyAlignment="1">
      <alignment horizontal="left"/>
    </xf>
    <xf numFmtId="9" fontId="16" fillId="0" borderId="0" xfId="19" applyFont="1" applyAlignment="1">
      <alignment horizontal="right"/>
    </xf>
    <xf numFmtId="167" fontId="17" fillId="0" borderId="24" xfId="0" applyNumberFormat="1" applyFont="1" applyBorder="1"/>
    <xf numFmtId="167" fontId="17" fillId="0" borderId="1" xfId="0" applyNumberFormat="1" applyFont="1" applyBorder="1"/>
    <xf numFmtId="0" fontId="17" fillId="0" borderId="1" xfId="0" applyFont="1" applyBorder="1"/>
    <xf numFmtId="2" fontId="17" fillId="0" borderId="1" xfId="0" applyNumberFormat="1" applyFont="1" applyBorder="1" applyAlignment="1">
      <alignment horizontal="right"/>
    </xf>
    <xf numFmtId="2" fontId="17" fillId="0" borderId="25" xfId="0" applyNumberFormat="1" applyFont="1" applyBorder="1" applyAlignment="1">
      <alignment horizontal="left"/>
    </xf>
    <xf numFmtId="2" fontId="17" fillId="0" borderId="0" xfId="0" applyNumberFormat="1" applyFont="1" applyAlignment="1">
      <alignment horizontal="left"/>
    </xf>
    <xf numFmtId="2" fontId="17" fillId="0" borderId="0" xfId="0" applyNumberFormat="1" applyFont="1" applyAlignment="1">
      <alignment horizontal="right"/>
    </xf>
    <xf numFmtId="0" fontId="17" fillId="0" borderId="0" xfId="0" applyFont="1" applyAlignment="1">
      <alignment horizontal="right"/>
    </xf>
    <xf numFmtId="0" fontId="16" fillId="15" borderId="0" xfId="0" applyFont="1" applyFill="1"/>
    <xf numFmtId="167" fontId="17" fillId="15" borderId="2" xfId="19" applyNumberFormat="1" applyFont="1" applyFill="1" applyBorder="1" applyAlignment="1">
      <alignment horizontal="right"/>
    </xf>
    <xf numFmtId="248" fontId="17" fillId="15" borderId="2" xfId="0" applyNumberFormat="1" applyFont="1" applyFill="1" applyBorder="1" applyAlignment="1">
      <alignment horizontal="right"/>
    </xf>
    <xf numFmtId="249" fontId="17" fillId="15" borderId="2" xfId="0" applyNumberFormat="1" applyFont="1" applyFill="1" applyBorder="1" applyAlignment="1">
      <alignment horizontal="right"/>
    </xf>
    <xf numFmtId="7" fontId="17" fillId="15" borderId="2" xfId="0" applyNumberFormat="1" applyFont="1" applyFill="1" applyBorder="1" applyAlignment="1">
      <alignment horizontal="right"/>
    </xf>
    <xf numFmtId="0" fontId="17" fillId="15" borderId="2" xfId="0" applyFont="1" applyFill="1" applyBorder="1" applyAlignment="1">
      <alignment horizontal="left" indent="1"/>
    </xf>
    <xf numFmtId="167" fontId="16" fillId="0" borderId="0" xfId="0" applyNumberFormat="1" applyFont="1" applyFill="1"/>
    <xf numFmtId="250" fontId="16" fillId="0" borderId="0" xfId="0" applyNumberFormat="1" applyFont="1" applyFill="1"/>
    <xf numFmtId="7" fontId="16" fillId="0" borderId="0" xfId="0" applyNumberFormat="1" applyFont="1" applyFill="1"/>
    <xf numFmtId="0" fontId="16" fillId="0" borderId="0" xfId="0" applyFont="1" applyFill="1"/>
    <xf numFmtId="250" fontId="17" fillId="0" borderId="21" xfId="0" applyNumberFormat="1" applyFont="1" applyFill="1" applyBorder="1"/>
    <xf numFmtId="250" fontId="17" fillId="0" borderId="2" xfId="0" applyNumberFormat="1" applyFont="1" applyFill="1" applyBorder="1"/>
    <xf numFmtId="0" fontId="17" fillId="0" borderId="2" xfId="0" applyFont="1" applyFill="1" applyBorder="1"/>
    <xf numFmtId="250" fontId="17" fillId="0" borderId="22" xfId="0" applyNumberFormat="1" applyFont="1" applyFill="1" applyBorder="1"/>
    <xf numFmtId="0" fontId="16" fillId="0" borderId="0" xfId="0" applyFont="1" applyFill="1" applyAlignment="1">
      <alignment horizontal="left" indent="1"/>
    </xf>
    <xf numFmtId="250" fontId="17" fillId="0" borderId="12" xfId="0" applyNumberFormat="1" applyFont="1" applyFill="1" applyBorder="1"/>
    <xf numFmtId="250" fontId="17" fillId="0" borderId="0" xfId="0" applyNumberFormat="1" applyFont="1" applyFill="1" applyBorder="1"/>
    <xf numFmtId="0" fontId="17" fillId="0" borderId="0" xfId="0" applyFont="1" applyFill="1" applyBorder="1"/>
    <xf numFmtId="0" fontId="17" fillId="0" borderId="23" xfId="0" applyFont="1" applyFill="1" applyBorder="1"/>
    <xf numFmtId="250" fontId="17" fillId="0" borderId="23" xfId="0" applyNumberFormat="1" applyFont="1" applyFill="1" applyBorder="1"/>
    <xf numFmtId="7" fontId="16" fillId="0" borderId="0" xfId="0" applyNumberFormat="1" applyFont="1" applyFill="1" applyAlignment="1">
      <alignment horizontal="right" indent="1"/>
    </xf>
    <xf numFmtId="250" fontId="17" fillId="0" borderId="24" xfId="0" applyNumberFormat="1" applyFont="1" applyFill="1" applyBorder="1"/>
    <xf numFmtId="250" fontId="17" fillId="0" borderId="1" xfId="0" applyNumberFormat="1" applyFont="1" applyFill="1" applyBorder="1"/>
    <xf numFmtId="0" fontId="17" fillId="0" borderId="1" xfId="0" applyFont="1" applyFill="1" applyBorder="1"/>
    <xf numFmtId="250" fontId="17" fillId="0" borderId="25" xfId="0" applyNumberFormat="1" applyFont="1" applyFill="1" applyBorder="1"/>
    <xf numFmtId="167" fontId="16" fillId="0" borderId="0" xfId="19" applyNumberFormat="1" applyFont="1" applyAlignment="1">
      <alignment horizontal="right" indent="1"/>
    </xf>
    <xf numFmtId="248" fontId="16" fillId="0" borderId="0" xfId="0" applyNumberFormat="1" applyFont="1" applyAlignment="1">
      <alignment horizontal="right" indent="1"/>
    </xf>
    <xf numFmtId="250" fontId="16" fillId="0" borderId="0" xfId="0" applyNumberFormat="1" applyFont="1"/>
    <xf numFmtId="7" fontId="16" fillId="0" borderId="0" xfId="0" applyNumberFormat="1" applyFont="1" applyAlignment="1">
      <alignment horizontal="right" indent="1"/>
    </xf>
    <xf numFmtId="167" fontId="16" fillId="0" borderId="0" xfId="19" applyNumberFormat="1" applyFont="1" applyAlignment="1">
      <alignment horizontal="right"/>
    </xf>
    <xf numFmtId="250" fontId="16" fillId="0" borderId="0" xfId="0" applyNumberFormat="1" applyFont="1" applyAlignment="1">
      <alignment horizontal="right"/>
    </xf>
    <xf numFmtId="0" fontId="64" fillId="0" borderId="0" xfId="0" applyFont="1"/>
    <xf numFmtId="248" fontId="16" fillId="0" borderId="0" xfId="0" applyNumberFormat="1" applyFont="1" applyAlignment="1">
      <alignment horizontal="right"/>
    </xf>
    <xf numFmtId="0" fontId="65" fillId="0" borderId="0" xfId="0" applyFont="1"/>
    <xf numFmtId="0" fontId="32" fillId="16" borderId="26" xfId="0" applyFont="1" applyFill="1" applyBorder="1" applyAlignment="1">
      <alignment horizontal="center" wrapText="1"/>
    </xf>
    <xf numFmtId="0" fontId="32" fillId="16" borderId="0" xfId="0" applyFont="1" applyFill="1" applyBorder="1" applyAlignment="1">
      <alignment horizontal="center" wrapText="1"/>
    </xf>
    <xf numFmtId="0" fontId="32" fillId="16" borderId="27" xfId="0" applyFont="1" applyFill="1" applyBorder="1" applyAlignment="1">
      <alignment horizontal="center" wrapText="1"/>
    </xf>
    <xf numFmtId="0" fontId="32" fillId="16" borderId="28" xfId="0" applyFont="1" applyFill="1" applyBorder="1" applyAlignment="1">
      <alignment horizontal="centerContinuous" wrapText="1"/>
    </xf>
    <xf numFmtId="0" fontId="32" fillId="16" borderId="29" xfId="0" applyFont="1" applyFill="1" applyBorder="1" applyAlignment="1">
      <alignment horizontal="centerContinuous"/>
    </xf>
    <xf numFmtId="0" fontId="32" fillId="16" borderId="29" xfId="0" applyFont="1" applyFill="1" applyBorder="1" applyAlignment="1">
      <alignment horizontal="centerContinuous" vertical="top"/>
    </xf>
    <xf numFmtId="0" fontId="32" fillId="16" borderId="30" xfId="0" applyFont="1" applyFill="1" applyBorder="1" applyAlignment="1">
      <alignment horizontal="centerContinuous"/>
    </xf>
    <xf numFmtId="14" fontId="32" fillId="16" borderId="0" xfId="0" applyNumberFormat="1" applyFont="1" applyFill="1" applyBorder="1" applyAlignment="1">
      <alignment horizontal="center" wrapText="1"/>
    </xf>
    <xf numFmtId="2" fontId="17" fillId="15" borderId="2" xfId="0" applyNumberFormat="1" applyFont="1" applyFill="1" applyBorder="1" applyAlignment="1">
      <alignment horizontal="right"/>
    </xf>
    <xf numFmtId="167" fontId="17" fillId="15" borderId="2" xfId="0" applyNumberFormat="1" applyFont="1" applyFill="1" applyBorder="1" applyAlignment="1">
      <alignment horizontal="right"/>
    </xf>
    <xf numFmtId="9" fontId="17" fillId="15" borderId="2" xfId="19" applyFont="1" applyFill="1" applyBorder="1" applyAlignment="1">
      <alignment horizontal="right"/>
    </xf>
    <xf numFmtId="248" fontId="17" fillId="15" borderId="2" xfId="0" applyNumberFormat="1" applyFont="1" applyFill="1" applyBorder="1"/>
    <xf numFmtId="9" fontId="17" fillId="15" borderId="2" xfId="19" applyFont="1" applyFill="1" applyBorder="1"/>
    <xf numFmtId="7" fontId="17" fillId="15" borderId="2" xfId="0" applyNumberFormat="1" applyFont="1" applyFill="1" applyBorder="1" applyAlignment="1">
      <alignment horizontal="right" indent="1"/>
    </xf>
    <xf numFmtId="2" fontId="16" fillId="0" borderId="0" xfId="0" applyNumberFormat="1" applyFont="1" applyFill="1" applyAlignment="1">
      <alignment horizontal="right"/>
    </xf>
    <xf numFmtId="250" fontId="16" fillId="0" borderId="0" xfId="0" applyNumberFormat="1" applyFont="1" applyFill="1" applyAlignment="1">
      <alignment horizontal="right"/>
    </xf>
    <xf numFmtId="249" fontId="17" fillId="0" borderId="2" xfId="0" applyNumberFormat="1" applyFont="1" applyFill="1" applyBorder="1" applyAlignment="1">
      <alignment horizontal="right"/>
    </xf>
    <xf numFmtId="9" fontId="17" fillId="0" borderId="2" xfId="19" applyFont="1" applyFill="1" applyBorder="1" applyAlignment="1">
      <alignment horizontal="right"/>
    </xf>
    <xf numFmtId="249" fontId="17" fillId="0" borderId="0" xfId="19" applyNumberFormat="1" applyFont="1" applyFill="1" applyBorder="1" applyAlignment="1">
      <alignment horizontal="right"/>
    </xf>
    <xf numFmtId="9" fontId="17" fillId="0" borderId="0" xfId="19" applyFont="1" applyFill="1" applyBorder="1" applyAlignment="1">
      <alignment horizontal="right"/>
    </xf>
    <xf numFmtId="249" fontId="17" fillId="0" borderId="1" xfId="19" applyNumberFormat="1" applyFont="1" applyFill="1" applyBorder="1" applyAlignment="1">
      <alignment horizontal="right"/>
    </xf>
    <xf numFmtId="9" fontId="17" fillId="0" borderId="1" xfId="19" applyFont="1" applyFill="1" applyBorder="1" applyAlignment="1">
      <alignment horizontal="right"/>
    </xf>
    <xf numFmtId="2" fontId="16" fillId="0" borderId="0" xfId="19" applyNumberFormat="1" applyFont="1" applyAlignment="1">
      <alignment horizontal="right" indent="1"/>
    </xf>
    <xf numFmtId="167" fontId="16" fillId="0" borderId="0" xfId="19" applyNumberFormat="1" applyFont="1"/>
    <xf numFmtId="2" fontId="16" fillId="0" borderId="0" xfId="19" applyNumberFormat="1" applyFont="1" applyAlignment="1">
      <alignment horizontal="right"/>
    </xf>
    <xf numFmtId="9" fontId="16" fillId="0" borderId="0" xfId="19" applyNumberFormat="1" applyFont="1" applyAlignment="1">
      <alignment horizontal="right"/>
    </xf>
    <xf numFmtId="0" fontId="32" fillId="16" borderId="31" xfId="0" applyFont="1" applyFill="1" applyBorder="1" applyAlignment="1">
      <alignment horizontal="centerContinuous"/>
    </xf>
    <xf numFmtId="0" fontId="32" fillId="16" borderId="29" xfId="0" applyFont="1" applyFill="1" applyBorder="1" applyAlignment="1">
      <alignment horizontal="centerContinuous" wrapText="1"/>
    </xf>
    <xf numFmtId="0" fontId="32" fillId="16" borderId="30" xfId="0" applyFont="1" applyFill="1" applyBorder="1" applyAlignment="1">
      <alignment horizontal="centerContinuous" wrapText="1"/>
    </xf>
    <xf numFmtId="167" fontId="0" fillId="0" borderId="0" xfId="0" applyNumberFormat="1" applyFont="1"/>
    <xf numFmtId="6" fontId="1" fillId="7" borderId="0" xfId="1" applyNumberFormat="1" applyFill="1"/>
    <xf numFmtId="164" fontId="16" fillId="0" borderId="0" xfId="19" applyNumberFormat="1" applyFont="1" applyBorder="1"/>
    <xf numFmtId="164" fontId="1" fillId="0" borderId="1" xfId="19" applyNumberFormat="1" applyFont="1" applyFill="1" applyBorder="1" applyAlignment="1">
      <alignment horizontal="center" vertical="center"/>
    </xf>
    <xf numFmtId="248" fontId="16" fillId="0" borderId="0" xfId="0" applyNumberFormat="1" applyFont="1" applyFill="1" applyAlignment="1">
      <alignment horizontal="right"/>
    </xf>
    <xf numFmtId="248" fontId="16" fillId="14" borderId="0" xfId="0" applyNumberFormat="1" applyFont="1" applyFill="1" applyAlignment="1">
      <alignment horizontal="right"/>
    </xf>
    <xf numFmtId="248" fontId="16" fillId="17" borderId="0" xfId="0" applyNumberFormat="1" applyFont="1" applyFill="1" applyAlignment="1">
      <alignment horizontal="right"/>
    </xf>
    <xf numFmtId="248" fontId="16" fillId="0" borderId="0" xfId="0" applyNumberFormat="1" applyFont="1"/>
    <xf numFmtId="2" fontId="17" fillId="0" borderId="1" xfId="19" applyNumberFormat="1" applyFont="1" applyFill="1" applyBorder="1" applyAlignment="1">
      <alignment horizontal="right"/>
    </xf>
    <xf numFmtId="2" fontId="17" fillId="0" borderId="0" xfId="19" applyNumberFormat="1" applyFont="1" applyFill="1" applyBorder="1" applyAlignment="1">
      <alignment horizontal="right"/>
    </xf>
    <xf numFmtId="2" fontId="17" fillId="0" borderId="2" xfId="0" applyNumberFormat="1" applyFont="1" applyFill="1" applyBorder="1" applyAlignment="1">
      <alignment horizontal="right"/>
    </xf>
    <xf numFmtId="0" fontId="16" fillId="0" borderId="32" xfId="0" applyFont="1" applyBorder="1"/>
    <xf numFmtId="0" fontId="16" fillId="0" borderId="23" xfId="0" applyFont="1" applyBorder="1"/>
    <xf numFmtId="249" fontId="16" fillId="0" borderId="23" xfId="0" applyNumberFormat="1" applyFont="1" applyBorder="1"/>
    <xf numFmtId="249" fontId="16" fillId="0" borderId="0" xfId="0" applyNumberFormat="1" applyFont="1"/>
    <xf numFmtId="249" fontId="16" fillId="0" borderId="0" xfId="0" applyNumberFormat="1" applyFont="1" applyAlignment="1">
      <alignment horizontal="right"/>
    </xf>
    <xf numFmtId="249" fontId="16" fillId="0" borderId="0" xfId="0" applyNumberFormat="1" applyFont="1" applyBorder="1"/>
    <xf numFmtId="0" fontId="17" fillId="0" borderId="25" xfId="0" applyFont="1" applyBorder="1" applyAlignment="1">
      <alignment horizontal="left" indent="1"/>
    </xf>
    <xf numFmtId="248" fontId="16" fillId="0" borderId="1" xfId="0" applyNumberFormat="1" applyFont="1" applyBorder="1" applyAlignment="1">
      <alignment horizontal="right"/>
    </xf>
    <xf numFmtId="9" fontId="16" fillId="0" borderId="1" xfId="19" applyFont="1" applyBorder="1"/>
    <xf numFmtId="249" fontId="16" fillId="0" borderId="25" xfId="0" applyNumberFormat="1" applyFont="1" applyBorder="1"/>
    <xf numFmtId="249" fontId="16" fillId="0" borderId="1" xfId="0" applyNumberFormat="1" applyFont="1" applyBorder="1"/>
    <xf numFmtId="249" fontId="16" fillId="0" borderId="1" xfId="0" applyNumberFormat="1" applyFont="1" applyBorder="1" applyAlignment="1">
      <alignment horizontal="right"/>
    </xf>
    <xf numFmtId="249" fontId="16" fillId="0" borderId="24" xfId="0" applyNumberFormat="1" applyFont="1" applyBorder="1"/>
    <xf numFmtId="0" fontId="17" fillId="0" borderId="23" xfId="0" applyFont="1" applyBorder="1" applyAlignment="1">
      <alignment horizontal="left" indent="1"/>
    </xf>
    <xf numFmtId="248" fontId="16" fillId="0" borderId="0" xfId="0" applyNumberFormat="1" applyFont="1" applyBorder="1" applyAlignment="1">
      <alignment horizontal="right"/>
    </xf>
    <xf numFmtId="9" fontId="16" fillId="0" borderId="0" xfId="19" applyFont="1" applyBorder="1"/>
    <xf numFmtId="249" fontId="16" fillId="0" borderId="0" xfId="0" applyNumberFormat="1" applyFont="1" applyBorder="1" applyAlignment="1">
      <alignment horizontal="right"/>
    </xf>
    <xf numFmtId="249" fontId="16" fillId="0" borderId="12" xfId="0" applyNumberFormat="1" applyFont="1" applyBorder="1"/>
    <xf numFmtId="0" fontId="17" fillId="0" borderId="22" xfId="0" applyFont="1" applyBorder="1" applyAlignment="1">
      <alignment horizontal="left" indent="1"/>
    </xf>
    <xf numFmtId="248" fontId="16" fillId="0" borderId="2" xfId="0" applyNumberFormat="1" applyFont="1" applyBorder="1" applyAlignment="1">
      <alignment horizontal="right"/>
    </xf>
    <xf numFmtId="9" fontId="16" fillId="0" borderId="2" xfId="19" applyFont="1" applyBorder="1"/>
    <xf numFmtId="249" fontId="16" fillId="0" borderId="22" xfId="0" applyNumberFormat="1" applyFont="1" applyBorder="1"/>
    <xf numFmtId="249" fontId="16" fillId="0" borderId="2" xfId="0" applyNumberFormat="1" applyFont="1" applyBorder="1"/>
    <xf numFmtId="249" fontId="16" fillId="0" borderId="2" xfId="0" applyNumberFormat="1" applyFont="1" applyBorder="1" applyAlignment="1">
      <alignment horizontal="right"/>
    </xf>
    <xf numFmtId="249" fontId="16" fillId="0" borderId="21" xfId="0" applyNumberFormat="1" applyFont="1" applyBorder="1"/>
    <xf numFmtId="251" fontId="17" fillId="15" borderId="2" xfId="20" applyNumberFormat="1" applyFont="1" applyFill="1" applyBorder="1" applyAlignment="1">
      <alignment horizontal="right" indent="1"/>
    </xf>
    <xf numFmtId="251" fontId="17" fillId="15" borderId="2" xfId="20" applyNumberFormat="1" applyFont="1" applyFill="1" applyBorder="1"/>
    <xf numFmtId="251" fontId="17" fillId="15" borderId="0" xfId="20" applyNumberFormat="1" applyFont="1" applyFill="1"/>
    <xf numFmtId="9" fontId="17" fillId="15" borderId="0" xfId="19" applyFont="1" applyFill="1"/>
    <xf numFmtId="248" fontId="17" fillId="15" borderId="0" xfId="20" applyNumberFormat="1" applyFont="1" applyFill="1"/>
    <xf numFmtId="248" fontId="17" fillId="15" borderId="0" xfId="0" applyNumberFormat="1" applyFont="1" applyFill="1"/>
    <xf numFmtId="0" fontId="66" fillId="0" borderId="0" xfId="0" applyFont="1"/>
    <xf numFmtId="167" fontId="17" fillId="17" borderId="33" xfId="0" applyNumberFormat="1" applyFont="1" applyFill="1" applyBorder="1" applyAlignment="1">
      <alignment horizontal="right"/>
    </xf>
    <xf numFmtId="167" fontId="17" fillId="17" borderId="34" xfId="0" applyNumberFormat="1" applyFont="1" applyFill="1" applyBorder="1" applyAlignment="1">
      <alignment horizontal="right"/>
    </xf>
    <xf numFmtId="248" fontId="16" fillId="17" borderId="35" xfId="0" applyNumberFormat="1" applyFont="1" applyFill="1" applyBorder="1"/>
    <xf numFmtId="248" fontId="16" fillId="17" borderId="36" xfId="0" applyNumberFormat="1" applyFont="1" applyFill="1" applyBorder="1" applyAlignment="1">
      <alignment horizontal="center"/>
    </xf>
    <xf numFmtId="248" fontId="16" fillId="17" borderId="36" xfId="0" applyNumberFormat="1" applyFont="1" applyFill="1" applyBorder="1"/>
    <xf numFmtId="248" fontId="16" fillId="17" borderId="37" xfId="0" applyNumberFormat="1" applyFont="1" applyFill="1" applyBorder="1"/>
    <xf numFmtId="248" fontId="16" fillId="0" borderId="0" xfId="0" applyNumberFormat="1" applyFont="1" applyFill="1" applyBorder="1" applyAlignment="1">
      <alignment horizontal="right"/>
    </xf>
    <xf numFmtId="252" fontId="16" fillId="0" borderId="1" xfId="20" applyNumberFormat="1" applyFont="1" applyFill="1" applyBorder="1"/>
    <xf numFmtId="252" fontId="16" fillId="0" borderId="1" xfId="0" applyNumberFormat="1" applyFont="1" applyBorder="1"/>
    <xf numFmtId="0" fontId="17" fillId="0" borderId="0" xfId="0" applyFont="1" applyAlignment="1">
      <alignment horizontal="center"/>
    </xf>
    <xf numFmtId="0" fontId="16" fillId="0" borderId="0" xfId="0" applyFont="1" applyAlignment="1">
      <alignment horizontal="right" vertical="center" textRotation="90"/>
    </xf>
    <xf numFmtId="0" fontId="16" fillId="0" borderId="2" xfId="0" applyFont="1" applyBorder="1" applyAlignment="1">
      <alignment horizontal="center" vertical="center"/>
    </xf>
    <xf numFmtId="0" fontId="33" fillId="13" borderId="0" xfId="0" applyFont="1" applyFill="1" applyBorder="1" applyAlignment="1">
      <alignment horizontal="center"/>
    </xf>
    <xf numFmtId="0" fontId="32" fillId="6" borderId="0" xfId="0" applyFont="1" applyFill="1"/>
    <xf numFmtId="167" fontId="32" fillId="6" borderId="0" xfId="0" applyNumberFormat="1" applyFont="1" applyFill="1"/>
    <xf numFmtId="10" fontId="26" fillId="0" borderId="0" xfId="19" applyNumberFormat="1" applyFont="1" applyBorder="1"/>
    <xf numFmtId="44" fontId="16" fillId="0" borderId="1" xfId="20" applyFont="1" applyBorder="1"/>
    <xf numFmtId="44" fontId="16" fillId="0" borderId="0" xfId="20" applyFont="1"/>
  </cellXfs>
  <cellStyles count="332">
    <cellStyle name="$" xfId="22"/>
    <cellStyle name="$m" xfId="23"/>
    <cellStyle name="$q" xfId="24"/>
    <cellStyle name="$q*" xfId="25"/>
    <cellStyle name="$q_AVP" xfId="26"/>
    <cellStyle name="$qA" xfId="27"/>
    <cellStyle name="$qRange" xfId="28"/>
    <cellStyle name=";;;" xfId="29"/>
    <cellStyle name="£Currency [0]" xfId="30"/>
    <cellStyle name="£Currency [1]" xfId="31"/>
    <cellStyle name="£Currency [2]" xfId="32"/>
    <cellStyle name="£Currency [p]" xfId="33"/>
    <cellStyle name="£Currency [p2]" xfId="34"/>
    <cellStyle name="£Pounds" xfId="35"/>
    <cellStyle name="Body" xfId="36"/>
    <cellStyle name="Calc Currency (0)" xfId="37"/>
    <cellStyle name="ChartingText" xfId="3"/>
    <cellStyle name="CHPAboveAverage" xfId="4"/>
    <cellStyle name="CHPBelowAverage" xfId="5"/>
    <cellStyle name="CHPBottom" xfId="6"/>
    <cellStyle name="CHPTop" xfId="7"/>
    <cellStyle name="ColHeading" xfId="38"/>
    <cellStyle name="ColumnHeaderNormal" xfId="8"/>
    <cellStyle name="Comma" xfId="21" builtinId="3"/>
    <cellStyle name="Comma [1]" xfId="39"/>
    <cellStyle name="Company" xfId="40"/>
    <cellStyle name="Copied" xfId="41"/>
    <cellStyle name="CurRatio" xfId="42"/>
    <cellStyle name="Currency" xfId="20" builtinId="4"/>
    <cellStyle name="Currency [1]" xfId="43"/>
    <cellStyle name="d_yield" xfId="44"/>
    <cellStyle name="d_yield_AVP" xfId="45"/>
    <cellStyle name="d_yield_AVP_Graphic Depiction - NO DEV" xfId="46"/>
    <cellStyle name="d_yield_AVP_THEsumPage (2)" xfId="47"/>
    <cellStyle name="d_yield_COMPS desc1" xfId="48"/>
    <cellStyle name="d_yield_CompSheet" xfId="49"/>
    <cellStyle name="d_yield_crr.dcf2" xfId="50"/>
    <cellStyle name="d_yield_Disc Analysis" xfId="51"/>
    <cellStyle name="d_yield_Disc Analysis_CompSheet" xfId="52"/>
    <cellStyle name="d_yield_Disc Analysis_THEsumPage (2)" xfId="53"/>
    <cellStyle name="d_yield_Fairness Opinion Valuation 4-23a.xls Chart 1" xfId="54"/>
    <cellStyle name="d_yield_LP Chart" xfId="55"/>
    <cellStyle name="d_yield_LP Chart_THEsumPage (2)" xfId="56"/>
    <cellStyle name="d_yield_Merg Cons" xfId="57"/>
    <cellStyle name="d_yield_Merg Cons_CompSheet" xfId="58"/>
    <cellStyle name="d_yield_Merg Cons_THEsumPage (2)" xfId="59"/>
    <cellStyle name="d_yield_PowerValuation.xls Chart 21" xfId="60"/>
    <cellStyle name="d_yield_PowerValuation.xls Chart 28" xfId="61"/>
    <cellStyle name="d_yield_Proj10" xfId="62"/>
    <cellStyle name="d_yield_Proj10_AVP" xfId="63"/>
    <cellStyle name="d_yield_Proj10_AVP_Graphic Depiction - NO DEV" xfId="64"/>
    <cellStyle name="d_yield_Proj10_AVP_THEsumPage (2)" xfId="65"/>
    <cellStyle name="d_yield_Proj10_CompSheet" xfId="66"/>
    <cellStyle name="d_yield_Proj10_Disc Analysis" xfId="67"/>
    <cellStyle name="d_yield_Proj10_Disc Analysis_CompSheet" xfId="68"/>
    <cellStyle name="d_yield_Proj10_Disc Analysis_THEsumPage (2)" xfId="69"/>
    <cellStyle name="d_yield_Proj10_Fairness Opinion Valuation 4-23a.xls Chart 1" xfId="70"/>
    <cellStyle name="d_yield_Proj10_LP Chart" xfId="71"/>
    <cellStyle name="d_yield_Proj10_LP Chart_THEsumPage (2)" xfId="72"/>
    <cellStyle name="d_yield_Proj10_Merg Cons" xfId="73"/>
    <cellStyle name="d_yield_Proj10_Merg Cons_CompSheet" xfId="74"/>
    <cellStyle name="d_yield_Proj10_Merg Cons_THEsumPage (2)" xfId="75"/>
    <cellStyle name="d_yield_Proj10_PowerValuation.xls Chart 21" xfId="76"/>
    <cellStyle name="d_yield_Proj10_PowerValuation.xls Chart 28" xfId="77"/>
    <cellStyle name="d_yield_Proj10_Sensitivity" xfId="78"/>
    <cellStyle name="d_yield_Proj10_Sensitivity_CompSheet" xfId="79"/>
    <cellStyle name="d_yield_Proj10_Sensitivity_THEsumPage (2)" xfId="80"/>
    <cellStyle name="d_yield_Proj10_show-hold" xfId="81"/>
    <cellStyle name="d_yield_Proj10_show-hold_Graphic Depiction - NO DEV" xfId="82"/>
    <cellStyle name="d_yield_Proj10_show-hold_THEsumPage (2)" xfId="83"/>
    <cellStyle name="d_yield_Proj10_THEsumPage (2)" xfId="84"/>
    <cellStyle name="d_yield_Proj10_Valuation summaries" xfId="85"/>
    <cellStyle name="d_yield_Proj10_WACC-CableCar" xfId="86"/>
    <cellStyle name="d_yield_Proj10_WACC-CableCar_THEsumPage (2)" xfId="87"/>
    <cellStyle name="d_yield_Proj10_WACC-RAD (2)" xfId="88"/>
    <cellStyle name="d_yield_Proj10_WACC-RAD (2)_THEsumPage (2)" xfId="89"/>
    <cellStyle name="d_yield_Sensitivity" xfId="90"/>
    <cellStyle name="d_yield_Sensitivity_CompSheet" xfId="91"/>
    <cellStyle name="d_yield_Sensitivity_THEsumPage (2)" xfId="92"/>
    <cellStyle name="d_yield_Sheet1" xfId="93"/>
    <cellStyle name="d_yield_show-hold" xfId="94"/>
    <cellStyle name="d_yield_show-hold_CompSheet" xfId="95"/>
    <cellStyle name="d_yield_show-hold_THEsumPage (2)" xfId="96"/>
    <cellStyle name="d_yield_THEsumPage (2)" xfId="97"/>
    <cellStyle name="d_yield_Valuation summaries" xfId="98"/>
    <cellStyle name="d_yield_WACC-CableCar" xfId="99"/>
    <cellStyle name="d_yield_WACC-CableCar_THEsumPage (2)" xfId="100"/>
    <cellStyle name="d_yield_WACC-RAD (2)" xfId="101"/>
    <cellStyle name="d_yield_WACC-RAD (2)_THEsumPage (2)" xfId="102"/>
    <cellStyle name="Dollars" xfId="103"/>
    <cellStyle name="Dollars []" xfId="104"/>
    <cellStyle name="econdary" xfId="105"/>
    <cellStyle name="Entered" xfId="106"/>
    <cellStyle name="eps" xfId="107"/>
    <cellStyle name="eps$" xfId="108"/>
    <cellStyle name="eps$A" xfId="109"/>
    <cellStyle name="eps$E" xfId="110"/>
    <cellStyle name="eps_2nd Quarter" xfId="111"/>
    <cellStyle name="epsA" xfId="112"/>
    <cellStyle name="epsE" xfId="113"/>
    <cellStyle name="Euro" xfId="114"/>
    <cellStyle name="fy_eps$" xfId="115"/>
    <cellStyle name="g_rate" xfId="116"/>
    <cellStyle name="g_rate_AVP" xfId="117"/>
    <cellStyle name="g_rate_AVP_Graphic Depiction - NO DEV" xfId="118"/>
    <cellStyle name="g_rate_AVP_THEsumPage (2)" xfId="119"/>
    <cellStyle name="g_rate_COMPS desc1" xfId="120"/>
    <cellStyle name="g_rate_CompSheet" xfId="121"/>
    <cellStyle name="g_rate_crr.dcf2" xfId="122"/>
    <cellStyle name="g_rate_Disc Analysis" xfId="123"/>
    <cellStyle name="g_rate_Disc Analysis_CompSheet" xfId="124"/>
    <cellStyle name="g_rate_Disc Analysis_THEsumPage (2)" xfId="125"/>
    <cellStyle name="g_rate_Fairness Opinion Valuation 4-23a.xls Chart 1" xfId="126"/>
    <cellStyle name="g_rate_LP Chart" xfId="127"/>
    <cellStyle name="g_rate_LP Chart_THEsumPage (2)" xfId="128"/>
    <cellStyle name="g_rate_Merg Cons" xfId="129"/>
    <cellStyle name="g_rate_Merg Cons_CompSheet" xfId="130"/>
    <cellStyle name="g_rate_Merg Cons_THEsumPage (2)" xfId="131"/>
    <cellStyle name="g_rate_PowerValuation.xls Chart 21" xfId="132"/>
    <cellStyle name="g_rate_PowerValuation.xls Chart 28" xfId="133"/>
    <cellStyle name="g_rate_Proj10" xfId="134"/>
    <cellStyle name="g_rate_Proj10_AVP" xfId="135"/>
    <cellStyle name="g_rate_Proj10_AVP_Graphic Depiction - NO DEV" xfId="136"/>
    <cellStyle name="g_rate_Proj10_AVP_THEsumPage (2)" xfId="137"/>
    <cellStyle name="g_rate_Proj10_CompSheet" xfId="138"/>
    <cellStyle name="g_rate_Proj10_Disc Analysis" xfId="139"/>
    <cellStyle name="g_rate_Proj10_Disc Analysis_CompSheet" xfId="140"/>
    <cellStyle name="g_rate_Proj10_Disc Analysis_THEsumPage (2)" xfId="141"/>
    <cellStyle name="g_rate_Proj10_Fairness Opinion Valuation 4-23a.xls Chart 1" xfId="142"/>
    <cellStyle name="g_rate_Proj10_LP Chart" xfId="143"/>
    <cellStyle name="g_rate_Proj10_LP Chart_THEsumPage (2)" xfId="144"/>
    <cellStyle name="g_rate_Proj10_Merg Cons" xfId="145"/>
    <cellStyle name="g_rate_Proj10_Merg Cons_CompSheet" xfId="146"/>
    <cellStyle name="g_rate_Proj10_Merg Cons_THEsumPage (2)" xfId="147"/>
    <cellStyle name="g_rate_Proj10_PowerValuation.xls Chart 21" xfId="148"/>
    <cellStyle name="g_rate_Proj10_PowerValuation.xls Chart 28" xfId="149"/>
    <cellStyle name="g_rate_Proj10_Sensitivity" xfId="150"/>
    <cellStyle name="g_rate_Proj10_Sensitivity_CompSheet" xfId="151"/>
    <cellStyle name="g_rate_Proj10_Sensitivity_THEsumPage (2)" xfId="152"/>
    <cellStyle name="g_rate_Proj10_show-hold" xfId="153"/>
    <cellStyle name="g_rate_Proj10_show-hold_Graphic Depiction - NO DEV" xfId="154"/>
    <cellStyle name="g_rate_Proj10_show-hold_THEsumPage (2)" xfId="155"/>
    <cellStyle name="g_rate_Proj10_THEsumPage (2)" xfId="156"/>
    <cellStyle name="g_rate_Proj10_Valuation summaries" xfId="157"/>
    <cellStyle name="g_rate_Proj10_WACC-CableCar" xfId="158"/>
    <cellStyle name="g_rate_Proj10_WACC-CableCar_THEsumPage (2)" xfId="159"/>
    <cellStyle name="g_rate_Proj10_WACC-RAD (2)" xfId="160"/>
    <cellStyle name="g_rate_Proj10_WACC-RAD (2)_THEsumPage (2)" xfId="161"/>
    <cellStyle name="g_rate_Sensitivity" xfId="162"/>
    <cellStyle name="g_rate_Sensitivity_CompSheet" xfId="163"/>
    <cellStyle name="g_rate_Sensitivity_THEsumPage (2)" xfId="164"/>
    <cellStyle name="g_rate_Sheet1" xfId="165"/>
    <cellStyle name="g_rate_show-hold" xfId="166"/>
    <cellStyle name="g_rate_show-hold_CompSheet" xfId="167"/>
    <cellStyle name="g_rate_show-hold_THEsumPage (2)" xfId="168"/>
    <cellStyle name="g_rate_THEsumPage (2)" xfId="169"/>
    <cellStyle name="g_rate_Valuation summaries" xfId="170"/>
    <cellStyle name="g_rate_WACC-CableCar" xfId="171"/>
    <cellStyle name="g_rate_WACC-CableCar_THEsumPage (2)" xfId="172"/>
    <cellStyle name="g_rate_WACC-RAD (2)" xfId="173"/>
    <cellStyle name="g_rate_WACC-RAD (2)_THEsumPage (2)" xfId="174"/>
    <cellStyle name="Grey" xfId="175"/>
    <cellStyle name="Header1" xfId="176"/>
    <cellStyle name="Header2" xfId="177"/>
    <cellStyle name="Input [yellow]" xfId="178"/>
    <cellStyle name="Integer" xfId="179"/>
    <cellStyle name="Invisible" xfId="2"/>
    <cellStyle name="Item" xfId="180"/>
    <cellStyle name="ItemTypeClass" xfId="181"/>
    <cellStyle name="m" xfId="182"/>
    <cellStyle name="m$" xfId="183"/>
    <cellStyle name="m_AVP" xfId="184"/>
    <cellStyle name="m_COMPS desc1" xfId="185"/>
    <cellStyle name="m_crr.dcf2" xfId="186"/>
    <cellStyle name="m_Disc Analysis" xfId="187"/>
    <cellStyle name="m_LP Chart" xfId="188"/>
    <cellStyle name="m_Merg Cons" xfId="189"/>
    <cellStyle name="m_Proj10" xfId="190"/>
    <cellStyle name="m_Proj10_AVP" xfId="191"/>
    <cellStyle name="m_Proj10_Disc Analysis" xfId="192"/>
    <cellStyle name="m_Proj10_LP Chart" xfId="193"/>
    <cellStyle name="m_Proj10_Merg Cons" xfId="194"/>
    <cellStyle name="m_Proj10_Sensitivity" xfId="195"/>
    <cellStyle name="m_Proj10_show-hold" xfId="196"/>
    <cellStyle name="m_Proj10_WACC-CableCar" xfId="197"/>
    <cellStyle name="m_Proj10_WACC-RAD (2)" xfId="198"/>
    <cellStyle name="m_Sensitivity" xfId="199"/>
    <cellStyle name="m_show-hold" xfId="200"/>
    <cellStyle name="m_WACC-CableCar" xfId="201"/>
    <cellStyle name="m_WACC-RAD (2)" xfId="202"/>
    <cellStyle name="mm" xfId="203"/>
    <cellStyle name="Multiple" xfId="204"/>
    <cellStyle name="Multiple []" xfId="205"/>
    <cellStyle name="Multiple [0]" xfId="206"/>
    <cellStyle name="Multiple [0] []" xfId="207"/>
    <cellStyle name="Multiple [1]" xfId="208"/>
    <cellStyle name="Multiple [1] []" xfId="209"/>
    <cellStyle name="NewColumnHeaderNormal" xfId="9"/>
    <cellStyle name="NewSectionHeaderNormal" xfId="10"/>
    <cellStyle name="NewTitleNormal" xfId="11"/>
    <cellStyle name="Normal" xfId="0" builtinId="0"/>
    <cellStyle name="Normal - Style1" xfId="210"/>
    <cellStyle name="Normal 2" xfId="1"/>
    <cellStyle name="Palatino" xfId="211"/>
    <cellStyle name="pe" xfId="212"/>
    <cellStyle name="PEG" xfId="213"/>
    <cellStyle name="Percent" xfId="19" builtinId="5"/>
    <cellStyle name="Percent [0]" xfId="214"/>
    <cellStyle name="Percent [1]" xfId="215"/>
    <cellStyle name="Percent [1][]" xfId="216"/>
    <cellStyle name="Percent [2]" xfId="217"/>
    <cellStyle name="PercentChange" xfId="218"/>
    <cellStyle name="price" xfId="219"/>
    <cellStyle name="q" xfId="220"/>
    <cellStyle name="q_AVP" xfId="221"/>
    <cellStyle name="q_AVP_Graphic Depiction - NO DEV" xfId="222"/>
    <cellStyle name="q_AVP_THEsumPage (2)" xfId="223"/>
    <cellStyle name="q_AVP_Valuation Summary Graphics" xfId="224"/>
    <cellStyle name="q_COMPS desc1" xfId="225"/>
    <cellStyle name="q_CompSheet" xfId="226"/>
    <cellStyle name="q_crr.dcf2" xfId="227"/>
    <cellStyle name="q_Disc Analysis" xfId="228"/>
    <cellStyle name="q_Disc Analysis_CompSheet" xfId="229"/>
    <cellStyle name="q_Disc Analysis_Fairness Opinion Valuation 4-23a.xls Chart 1" xfId="230"/>
    <cellStyle name="q_Disc Analysis_PowerValuation.xls Chart 21" xfId="231"/>
    <cellStyle name="q_Disc Analysis_PowerValuation.xls Chart 28" xfId="232"/>
    <cellStyle name="q_Disc Analysis_THEsumPage (2)" xfId="233"/>
    <cellStyle name="q_Disc Analysis_Valuation summaries" xfId="234"/>
    <cellStyle name="q_Fairness Opinion Valuation 4-23a.xls Chart 1" xfId="235"/>
    <cellStyle name="q_Header Template" xfId="236"/>
    <cellStyle name="q_JNY-NIN" xfId="237"/>
    <cellStyle name="q_Merg Cons" xfId="238"/>
    <cellStyle name="q_Merg Cons_CompSheet" xfId="239"/>
    <cellStyle name="q_Merg Cons_Fairness Opinion Valuation 4-23a.xls Chart 1" xfId="240"/>
    <cellStyle name="q_Merg Cons_PowerValuation.xls Chart 21" xfId="241"/>
    <cellStyle name="q_Merg Cons_PowerValuation.xls Chart 28" xfId="242"/>
    <cellStyle name="q_Merg Cons_THEsumPage (2)" xfId="243"/>
    <cellStyle name="q_Merg Cons_Valuation summaries" xfId="244"/>
    <cellStyle name="q_PowerValuation.xls Chart 21" xfId="245"/>
    <cellStyle name="q_PowerValuation.xls Chart 28" xfId="246"/>
    <cellStyle name="q_Proj10" xfId="247"/>
    <cellStyle name="q_Proj10_AVP" xfId="248"/>
    <cellStyle name="q_Proj10_AVP_Graphic Depiction - NO DEV" xfId="249"/>
    <cellStyle name="q_Proj10_AVP_THEsumPage (2)" xfId="250"/>
    <cellStyle name="q_Proj10_AVP_Valuation Summary Graphics" xfId="251"/>
    <cellStyle name="q_Proj10_CompSheet" xfId="252"/>
    <cellStyle name="q_Proj10_Disc Analysis" xfId="253"/>
    <cellStyle name="q_Proj10_Disc Analysis_CompSheet" xfId="254"/>
    <cellStyle name="q_Proj10_Disc Analysis_Fairness Opinion Valuation 4-23a.xls Chart 1" xfId="255"/>
    <cellStyle name="q_Proj10_Disc Analysis_PowerValuation.xls Chart 21" xfId="256"/>
    <cellStyle name="q_Proj10_Disc Analysis_PowerValuation.xls Chart 28" xfId="257"/>
    <cellStyle name="q_Proj10_Disc Analysis_THEsumPage (2)" xfId="258"/>
    <cellStyle name="q_Proj10_Disc Analysis_Valuation summaries" xfId="259"/>
    <cellStyle name="q_Proj10_Fairness Opinion Valuation 4-23a.xls Chart 1" xfId="260"/>
    <cellStyle name="q_Proj10_Merg Cons" xfId="261"/>
    <cellStyle name="q_Proj10_Merg Cons_CompSheet" xfId="262"/>
    <cellStyle name="q_Proj10_Merg Cons_Fairness Opinion Valuation 4-23a.xls Chart 1" xfId="263"/>
    <cellStyle name="q_Proj10_Merg Cons_PowerValuation.xls Chart 21" xfId="264"/>
    <cellStyle name="q_Proj10_Merg Cons_PowerValuation.xls Chart 28" xfId="265"/>
    <cellStyle name="q_Proj10_Merg Cons_THEsumPage (2)" xfId="266"/>
    <cellStyle name="q_Proj10_Merg Cons_Valuation summaries" xfId="267"/>
    <cellStyle name="q_Proj10_PowerValuation.xls Chart 21" xfId="268"/>
    <cellStyle name="q_Proj10_PowerValuation.xls Chart 28" xfId="269"/>
    <cellStyle name="q_Proj10_Sensitivity" xfId="270"/>
    <cellStyle name="q_Proj10_Sensitivity_CompSheet" xfId="271"/>
    <cellStyle name="q_Proj10_Sensitivity_Fairness Opinion Valuation 4-23a.xls Chart 1" xfId="272"/>
    <cellStyle name="q_Proj10_Sensitivity_PowerValuation.xls Chart 21" xfId="273"/>
    <cellStyle name="q_Proj10_Sensitivity_PowerValuation.xls Chart 28" xfId="274"/>
    <cellStyle name="q_Proj10_Sensitivity_THEsumPage (2)" xfId="275"/>
    <cellStyle name="q_Proj10_Sensitivity_Valuation summaries" xfId="276"/>
    <cellStyle name="q_Proj10_show-hold" xfId="277"/>
    <cellStyle name="q_Proj10_show-hold_Graphic Depiction - NO DEV" xfId="278"/>
    <cellStyle name="q_Proj10_show-hold_THEsumPage (2)" xfId="279"/>
    <cellStyle name="q_Proj10_show-hold_Valuation Summary Graphics" xfId="280"/>
    <cellStyle name="q_Proj10_THEsumPage (2)" xfId="281"/>
    <cellStyle name="q_Proj10_Valuation summaries" xfId="282"/>
    <cellStyle name="q_Proj10_WACC-CableCar" xfId="283"/>
    <cellStyle name="q_Proj10_WACC-CableCar_THEsumPage (2)" xfId="284"/>
    <cellStyle name="q_Sensitivity" xfId="285"/>
    <cellStyle name="q_Sensitivity_CompSheet" xfId="286"/>
    <cellStyle name="q_Sensitivity_Fairness Opinion Valuation 4-23a.xls Chart 1" xfId="287"/>
    <cellStyle name="q_Sensitivity_PowerValuation.xls Chart 21" xfId="288"/>
    <cellStyle name="q_Sensitivity_PowerValuation.xls Chart 28" xfId="289"/>
    <cellStyle name="q_Sensitivity_THEsumPage (2)" xfId="290"/>
    <cellStyle name="q_Sensitivity_Valuation summaries" xfId="291"/>
    <cellStyle name="q_Sheet1" xfId="292"/>
    <cellStyle name="q_show-hold" xfId="293"/>
    <cellStyle name="q_show-hold_CompSheet" xfId="294"/>
    <cellStyle name="q_show-hold_Fairness Opinion Valuation 4-23a.xls Chart 1" xfId="295"/>
    <cellStyle name="q_show-hold_PowerValuation.xls Chart 21" xfId="296"/>
    <cellStyle name="q_show-hold_PowerValuation.xls Chart 28" xfId="297"/>
    <cellStyle name="q_show-hold_THEsumPage (2)" xfId="298"/>
    <cellStyle name="q_show-hold_Valuation summaries" xfId="299"/>
    <cellStyle name="q_THEsumPage (2)" xfId="300"/>
    <cellStyle name="q_Valuation summaries" xfId="301"/>
    <cellStyle name="q_WACC-CableCar" xfId="302"/>
    <cellStyle name="q_WACC-CableCar_THEsumPage (2)" xfId="303"/>
    <cellStyle name="QEPS-h" xfId="304"/>
    <cellStyle name="QEPS-H1" xfId="305"/>
    <cellStyle name="qRange" xfId="306"/>
    <cellStyle name="r" xfId="307"/>
    <cellStyle name="range" xfId="308"/>
    <cellStyle name="RatioX" xfId="309"/>
    <cellStyle name="RevList" xfId="310"/>
    <cellStyle name="SectionHeaderNormal" xfId="12"/>
    <cellStyle name="SectionHeading" xfId="311"/>
    <cellStyle name="Style 21" xfId="312"/>
    <cellStyle name="Style 22" xfId="313"/>
    <cellStyle name="Style 23" xfId="314"/>
    <cellStyle name="Style 24" xfId="315"/>
    <cellStyle name="Style 25" xfId="316"/>
    <cellStyle name="Style 26" xfId="317"/>
    <cellStyle name="Style 30" xfId="318"/>
    <cellStyle name="Style 32" xfId="319"/>
    <cellStyle name="Style 33" xfId="320"/>
    <cellStyle name="Style 34" xfId="321"/>
    <cellStyle name="Style 35" xfId="322"/>
    <cellStyle name="Style 37" xfId="323"/>
    <cellStyle name="Style 39" xfId="324"/>
    <cellStyle name="Style 41" xfId="325"/>
    <cellStyle name="Style 42" xfId="326"/>
    <cellStyle name="Style 43" xfId="327"/>
    <cellStyle name="SubScript" xfId="13"/>
    <cellStyle name="Subtotal" xfId="328"/>
    <cellStyle name="SuperScript" xfId="14"/>
    <cellStyle name="tcn" xfId="329"/>
    <cellStyle name="TextBold" xfId="15"/>
    <cellStyle name="TextItalic" xfId="16"/>
    <cellStyle name="TextNormal" xfId="17"/>
    <cellStyle name="TitleNormal" xfId="18"/>
    <cellStyle name="Titles" xfId="330"/>
    <cellStyle name="tn" xfId="331"/>
  </cellStyles>
  <dxfs count="2">
    <dxf>
      <font>
        <color auto="1"/>
      </font>
    </dxf>
    <dxf>
      <font>
        <color auto="1"/>
      </font>
    </dxf>
  </dxfs>
  <tableStyles count="0" defaultTableStyle="TableStyleMedium2" defaultPivotStyle="PivotStyleLight16"/>
  <colors>
    <mruColors>
      <color rgb="FF00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6666465928983"/>
          <c:y val="4.0160563816665509E-2"/>
          <c:w val="0.7216660793733084"/>
          <c:h val="0.87550029120330741"/>
        </c:manualLayout>
      </c:layout>
      <c:barChart>
        <c:barDir val="bar"/>
        <c:grouping val="stacked"/>
        <c:varyColors val="0"/>
        <c:ser>
          <c:idx val="1"/>
          <c:order val="0"/>
          <c:spPr>
            <a:noFill/>
            <a:ln w="25400">
              <a:noFill/>
            </a:ln>
          </c:spPr>
          <c:invertIfNegative val="0"/>
          <c:cat>
            <c:strRef>
              <c:f>FootballField!$B$3:$B$5</c:f>
              <c:strCache>
                <c:ptCount val="3"/>
                <c:pt idx="0">
                  <c:v>Comparable Company Analysis</c:v>
                </c:pt>
                <c:pt idx="1">
                  <c:v>Precedent Transactions</c:v>
                </c:pt>
                <c:pt idx="2">
                  <c:v>Discounted Cash Flow</c:v>
                </c:pt>
              </c:strCache>
            </c:strRef>
          </c:cat>
          <c:val>
            <c:numRef>
              <c:f>FootballField!$C$3:$C$5</c:f>
              <c:numCache>
                <c:formatCode>"$"#,##0.0_);[Red]\("$"#,##0.0\)</c:formatCode>
                <c:ptCount val="3"/>
                <c:pt idx="0">
                  <c:v>1396.9823746039451</c:v>
                </c:pt>
                <c:pt idx="1">
                  <c:v>1648.62</c:v>
                </c:pt>
                <c:pt idx="2">
                  <c:v>1717.1010962000616</c:v>
                </c:pt>
              </c:numCache>
            </c:numRef>
          </c:val>
        </c:ser>
        <c:ser>
          <c:idx val="2"/>
          <c:order val="1"/>
          <c:spPr>
            <a:solidFill>
              <a:srgbClr val="0070C0"/>
            </a:solidFill>
            <a:ln w="12700">
              <a:solidFill>
                <a:srgbClr val="000000"/>
              </a:solidFill>
              <a:prstDash val="solid"/>
            </a:ln>
          </c:spPr>
          <c:invertIfNegative val="0"/>
          <c:cat>
            <c:strRef>
              <c:f>FootballField!$B$3:$B$5</c:f>
              <c:strCache>
                <c:ptCount val="3"/>
                <c:pt idx="0">
                  <c:v>Comparable Company Analysis</c:v>
                </c:pt>
                <c:pt idx="1">
                  <c:v>Precedent Transactions</c:v>
                </c:pt>
                <c:pt idx="2">
                  <c:v>Discounted Cash Flow</c:v>
                </c:pt>
              </c:strCache>
            </c:strRef>
          </c:cat>
          <c:val>
            <c:numRef>
              <c:f>FootballField!$D$3:$D$5</c:f>
              <c:numCache>
                <c:formatCode>"$"#,##0.0_);[Red]\("$"#,##0.0\)</c:formatCode>
                <c:ptCount val="3"/>
                <c:pt idx="0">
                  <c:v>148.58021509676882</c:v>
                </c:pt>
                <c:pt idx="1">
                  <c:v>136.92857142857156</c:v>
                </c:pt>
                <c:pt idx="2">
                  <c:v>497.38640186441967</c:v>
                </c:pt>
              </c:numCache>
            </c:numRef>
          </c:val>
        </c:ser>
        <c:dLbls>
          <c:showLegendKey val="0"/>
          <c:showVal val="0"/>
          <c:showCatName val="0"/>
          <c:showSerName val="0"/>
          <c:showPercent val="0"/>
          <c:showBubbleSize val="0"/>
        </c:dLbls>
        <c:gapWidth val="150"/>
        <c:overlap val="100"/>
        <c:axId val="45551616"/>
        <c:axId val="43524672"/>
      </c:barChart>
      <c:catAx>
        <c:axId val="45551616"/>
        <c:scaling>
          <c:orientation val="minMax"/>
        </c:scaling>
        <c:delete val="0"/>
        <c:axPos val="l"/>
        <c:numFmt formatCode="General" sourceLinked="1"/>
        <c:majorTickMark val="out"/>
        <c:minorTickMark val="none"/>
        <c:tickLblPos val="low"/>
        <c:spPr>
          <a:ln w="3175">
            <a:solidFill>
              <a:srgbClr val="969696"/>
            </a:solidFill>
            <a:prstDash val="solid"/>
          </a:ln>
        </c:spPr>
        <c:txPr>
          <a:bodyPr rot="0" vert="horz"/>
          <a:lstStyle/>
          <a:p>
            <a:pPr>
              <a:defRPr/>
            </a:pPr>
            <a:endParaRPr lang="en-US"/>
          </a:p>
        </c:txPr>
        <c:crossAx val="43524672"/>
        <c:crosses val="autoZero"/>
        <c:auto val="1"/>
        <c:lblAlgn val="ctr"/>
        <c:lblOffset val="100"/>
        <c:noMultiLvlLbl val="0"/>
      </c:catAx>
      <c:valAx>
        <c:axId val="43524672"/>
        <c:scaling>
          <c:orientation val="minMax"/>
          <c:max val="2500"/>
          <c:min val="1000"/>
        </c:scaling>
        <c:delete val="0"/>
        <c:axPos val="b"/>
        <c:majorGridlines>
          <c:spPr>
            <a:ln w="3175">
              <a:solidFill>
                <a:srgbClr val="969696"/>
              </a:solidFill>
              <a:prstDash val="solid"/>
            </a:ln>
          </c:spPr>
        </c:majorGridlines>
        <c:numFmt formatCode="&quot;$&quot;#,##0_);[Red]\(&quot;$&quot;#,##0\)" sourceLinked="0"/>
        <c:majorTickMark val="out"/>
        <c:minorTickMark val="none"/>
        <c:tickLblPos val="nextTo"/>
        <c:spPr>
          <a:ln w="3175">
            <a:solidFill>
              <a:srgbClr val="969696"/>
            </a:solidFill>
            <a:prstDash val="solid"/>
          </a:ln>
        </c:spPr>
        <c:txPr>
          <a:bodyPr rot="0" vert="horz"/>
          <a:lstStyle/>
          <a:p>
            <a:pPr>
              <a:defRPr/>
            </a:pPr>
            <a:endParaRPr lang="en-US"/>
          </a:p>
        </c:txPr>
        <c:crossAx val="45551616"/>
        <c:crosses val="autoZero"/>
        <c:crossBetween val="between"/>
        <c:majorUnit val="500"/>
      </c:valAx>
      <c:spPr>
        <a:noFill/>
        <a:ln w="3175">
          <a:solidFill>
            <a:srgbClr val="969696"/>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1066800</xdr:colOff>
      <xdr:row>10</xdr:row>
      <xdr:rowOff>85725</xdr:rowOff>
    </xdr:from>
    <xdr:to>
      <xdr:col>13</xdr:col>
      <xdr:colOff>238125</xdr:colOff>
      <xdr:row>26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lotts/My%20Documents/FBE529Summer2007/Topic3Valuation/XXXDCFK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ocuments%20and%20Settings\plotts\My%20Documents\FBE529Summer2007\Topic3Valuation\XXXDCF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Julia%20Gardner/My%20Documents/BAS/Departure2/Models/Models/Training%20Models/crr.dc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nts%20and%20Settings\Julia%20Gardner\My%20Documents\BAS\Departure2\Models\Models\Training%20Models\crr.dcf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user-9\CF%20Shared\Restaurant%20Folder\FOOD&amp;BEV%20COMP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ofasecurities.com/Silverstein/Companies/Vans/vans_an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Julia%20Gardner/Local%20Settings/Temporary%20Internet%20Files/OLK4/JuliaWAC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Documents%20and%20Settings\Julia%20Gardner\Local%20Settings\Temporary%20Internet%20Files\OLK4\JuliaWAC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
      <sheetName val="BS"/>
      <sheetName val="Breakout"/>
      <sheetName val="WACC"/>
      <sheetName val="WACC (2)"/>
      <sheetName val="NDFCF"/>
      <sheetName val="DCFTV"/>
      <sheetName val="DCFMult1"/>
      <sheetName val="DCFMult2"/>
      <sheetName val="Sum"/>
      <sheetName val="Valua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
      <sheetName val="BS"/>
      <sheetName val="Breakout"/>
      <sheetName val="WACC"/>
      <sheetName val="WACC (2)"/>
      <sheetName val="NDFCF"/>
      <sheetName val="DCFTV"/>
      <sheetName val="DCFMult1"/>
      <sheetName val="DCFMult2"/>
      <sheetName val="Sum"/>
      <sheetName val="Valua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 val="Synergy DCF"/>
      <sheetName val="WACC"/>
      <sheetName val="Equity"/>
      <sheetName val="Credit"/>
    </sheetNames>
    <sheetDataSet>
      <sheetData sheetId="0"/>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 val="Synergy DCF"/>
      <sheetName val="WACC"/>
      <sheetName val="Equity"/>
      <sheetName val="Credit"/>
    </sheetNames>
    <sheetDataSet>
      <sheetData sheetId="0"/>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D&amp;BEV COMPS"/>
    </sheetNames>
    <definedNames>
      <definedName name="Printsheet"/>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R"/>
      <sheetName val="Rev"/>
      <sheetName val="IS"/>
      <sheetName val="Store-Footage"/>
      <sheetName val="BS"/>
      <sheetName val="CF"/>
      <sheetName val="Tables"/>
      <sheetName val="EPS sensitivity"/>
      <sheetName val="Intl"/>
      <sheetName val="Ownership"/>
      <sheetName val="second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mp Inputs"/>
      <sheetName val="Trading Multiples"/>
      <sheetName val="Financial Info."/>
      <sheetName val="Margins &amp; Growth"/>
      <sheetName val="Trading &amp; Other"/>
      <sheetName val="WACC"/>
      <sheetName val="Description"/>
    </sheetNames>
    <sheetDataSet>
      <sheetData sheetId="0"/>
      <sheetData sheetId="1">
        <row r="2">
          <cell r="E2">
            <v>37500</v>
          </cell>
        </row>
      </sheetData>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mp Inputs"/>
      <sheetName val="Trading Multiples"/>
      <sheetName val="Financial Info."/>
      <sheetName val="Margins &amp; Growth"/>
      <sheetName val="Trading &amp; Other"/>
      <sheetName val="WACC"/>
      <sheetName val="Description"/>
    </sheetNames>
    <sheetDataSet>
      <sheetData sheetId="0"/>
      <sheetData sheetId="1">
        <row r="2">
          <cell r="E2">
            <v>37500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showGridLines="0" tabSelected="1" workbookViewId="0"/>
  </sheetViews>
  <sheetFormatPr defaultRowHeight="12.75"/>
  <cols>
    <col min="1" max="16384" width="9.140625" style="1"/>
  </cols>
  <sheetData>
    <row r="2" spans="2:3" ht="20.25">
      <c r="B2" s="4" t="s">
        <v>125</v>
      </c>
    </row>
    <row r="4" spans="2:3">
      <c r="B4" s="2" t="s">
        <v>126</v>
      </c>
    </row>
    <row r="5" spans="2:3">
      <c r="B5" s="72">
        <v>2</v>
      </c>
      <c r="C5" s="2" t="str">
        <f>+CHOOSE(B5,C6,C7,C8)</f>
        <v>Base Case</v>
      </c>
    </row>
    <row r="6" spans="2:3">
      <c r="B6" s="34">
        <v>1</v>
      </c>
      <c r="C6" s="1" t="s">
        <v>128</v>
      </c>
    </row>
    <row r="7" spans="2:3">
      <c r="B7" s="34">
        <v>2</v>
      </c>
      <c r="C7" s="1" t="s">
        <v>131</v>
      </c>
    </row>
    <row r="8" spans="2:3">
      <c r="B8" s="34">
        <v>3</v>
      </c>
      <c r="C8" s="1" t="s">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4"/>
  <sheetViews>
    <sheetView showGridLines="0" zoomScaleNormal="100" workbookViewId="0"/>
  </sheetViews>
  <sheetFormatPr defaultRowHeight="12.75"/>
  <cols>
    <col min="1" max="1" width="9.140625" style="1" customWidth="1"/>
    <col min="2" max="4" width="9.140625" style="1"/>
    <col min="5" max="11" width="9.28515625" style="1" bestFit="1" customWidth="1"/>
    <col min="12" max="12" width="9.140625" style="1" customWidth="1"/>
    <col min="13" max="15" width="10.28515625" style="1" bestFit="1" customWidth="1"/>
    <col min="16" max="16384" width="9.140625" style="1"/>
  </cols>
  <sheetData>
    <row r="2" spans="2:15" ht="20.25">
      <c r="B2" s="4" t="s">
        <v>0</v>
      </c>
    </row>
    <row r="3" spans="2:15" s="75" customFormat="1" ht="15.75">
      <c r="B3" s="76" t="str">
        <f>+Assumptions!C5</f>
        <v>Base Case</v>
      </c>
    </row>
    <row r="4" spans="2:15">
      <c r="B4" s="1" t="s">
        <v>36</v>
      </c>
      <c r="N4" s="1" t="s">
        <v>139</v>
      </c>
      <c r="O4" s="93">
        <v>1</v>
      </c>
    </row>
    <row r="6" spans="2:15">
      <c r="B6" s="17" t="s">
        <v>41</v>
      </c>
      <c r="C6" s="10"/>
      <c r="D6" s="10"/>
      <c r="E6" s="10"/>
      <c r="G6" s="17" t="s">
        <v>42</v>
      </c>
      <c r="H6" s="10"/>
      <c r="I6" s="10"/>
      <c r="J6" s="10"/>
      <c r="L6" s="2" t="s">
        <v>133</v>
      </c>
    </row>
    <row r="7" spans="2:15">
      <c r="B7" s="1" t="s">
        <v>1</v>
      </c>
      <c r="E7" s="14">
        <f>+K20</f>
        <v>19.359180035650624</v>
      </c>
      <c r="G7" s="1" t="s">
        <v>43</v>
      </c>
      <c r="J7" s="16">
        <v>0.1</v>
      </c>
      <c r="L7" s="1" t="s">
        <v>134</v>
      </c>
      <c r="N7" s="74">
        <f>+CHOOSE(Assumptions!$B$5,'Revenue Build'!N8,'Revenue Build'!N9,'Revenue Build'!N10)</f>
        <v>0.2</v>
      </c>
    </row>
    <row r="8" spans="2:15">
      <c r="B8" s="1" t="s">
        <v>37</v>
      </c>
      <c r="E8" s="16">
        <v>0.8</v>
      </c>
      <c r="G8" s="1" t="s">
        <v>1</v>
      </c>
      <c r="J8" s="14">
        <f>+K51</f>
        <v>76.200000000000117</v>
      </c>
      <c r="L8" s="1" t="s">
        <v>128</v>
      </c>
      <c r="N8" s="16">
        <v>0.25</v>
      </c>
    </row>
    <row r="9" spans="2:15">
      <c r="B9" s="1" t="s">
        <v>33</v>
      </c>
      <c r="E9" s="14">
        <f>+K27</f>
        <v>61.201034383679726</v>
      </c>
      <c r="G9" s="1" t="s">
        <v>7</v>
      </c>
      <c r="J9" s="14">
        <f>+K53</f>
        <v>36.866666666666667</v>
      </c>
      <c r="L9" s="1" t="s">
        <v>131</v>
      </c>
      <c r="N9" s="16">
        <v>0.2</v>
      </c>
    </row>
    <row r="10" spans="2:15">
      <c r="B10" s="1" t="s">
        <v>74</v>
      </c>
      <c r="E10" s="16">
        <v>0.2</v>
      </c>
      <c r="J10" s="14"/>
      <c r="L10" s="1" t="s">
        <v>132</v>
      </c>
      <c r="N10" s="16">
        <v>0.2</v>
      </c>
    </row>
    <row r="11" spans="2:15">
      <c r="B11" s="1" t="s">
        <v>78</v>
      </c>
      <c r="E11" s="14">
        <v>3.5</v>
      </c>
      <c r="J11" s="14"/>
    </row>
    <row r="12" spans="2:15">
      <c r="J12" s="14"/>
    </row>
    <row r="13" spans="2:15">
      <c r="E13" s="14"/>
      <c r="J13" s="14"/>
    </row>
    <row r="14" spans="2:15">
      <c r="E14" s="14"/>
      <c r="J14" s="14"/>
    </row>
    <row r="15" spans="2:15">
      <c r="E15" s="10" t="s">
        <v>23</v>
      </c>
      <c r="F15" s="10"/>
      <c r="G15" s="10"/>
      <c r="H15" s="10"/>
      <c r="I15" s="10"/>
      <c r="J15" s="10"/>
      <c r="K15" s="10"/>
      <c r="L15" s="10"/>
      <c r="M15" s="10"/>
      <c r="N15" s="10"/>
      <c r="O15" s="10"/>
    </row>
    <row r="16" spans="2:15">
      <c r="E16" s="7">
        <v>2008</v>
      </c>
      <c r="F16" s="7">
        <f>+E16+1</f>
        <v>2009</v>
      </c>
      <c r="G16" s="7">
        <f t="shared" ref="G16:O16" si="0">+F16+1</f>
        <v>2010</v>
      </c>
      <c r="H16" s="7">
        <f t="shared" si="0"/>
        <v>2011</v>
      </c>
      <c r="I16" s="7">
        <f t="shared" si="0"/>
        <v>2012</v>
      </c>
      <c r="J16" s="8">
        <f t="shared" si="0"/>
        <v>2013</v>
      </c>
      <c r="K16" s="8">
        <f t="shared" si="0"/>
        <v>2014</v>
      </c>
      <c r="L16" s="8">
        <f t="shared" si="0"/>
        <v>2015</v>
      </c>
      <c r="M16" s="8">
        <f t="shared" si="0"/>
        <v>2016</v>
      </c>
      <c r="N16" s="8">
        <f t="shared" si="0"/>
        <v>2017</v>
      </c>
      <c r="O16" s="8">
        <f t="shared" si="0"/>
        <v>2018</v>
      </c>
    </row>
    <row r="17" spans="2:15">
      <c r="B17" s="2" t="s">
        <v>3</v>
      </c>
    </row>
    <row r="18" spans="2:15">
      <c r="B18" s="1" t="s">
        <v>5</v>
      </c>
      <c r="H18" s="3">
        <v>28.6</v>
      </c>
      <c r="I18" s="3">
        <v>46.2</v>
      </c>
      <c r="J18" s="3">
        <v>63.3</v>
      </c>
      <c r="K18" s="3">
        <v>74.8</v>
      </c>
      <c r="L18" s="9">
        <f>+K18*(1+L19)</f>
        <v>89.759999999999991</v>
      </c>
      <c r="M18" s="9">
        <f t="shared" ref="M18:O18" si="1">+L18*(1+M19)</f>
        <v>107.71199999999999</v>
      </c>
      <c r="N18" s="9">
        <f t="shared" si="1"/>
        <v>129.25439999999998</v>
      </c>
      <c r="O18" s="9">
        <f t="shared" si="1"/>
        <v>155.10527999999996</v>
      </c>
    </row>
    <row r="19" spans="2:15">
      <c r="B19" s="5" t="s">
        <v>10</v>
      </c>
      <c r="E19" s="3"/>
      <c r="F19" s="6"/>
      <c r="G19" s="6"/>
      <c r="H19" s="6"/>
      <c r="I19" s="6">
        <f t="shared" ref="I19" si="2">+I18/H18-1</f>
        <v>0.61538461538461542</v>
      </c>
      <c r="J19" s="6">
        <f t="shared" ref="J19" si="3">+J18/I18-1</f>
        <v>0.37012987012987009</v>
      </c>
      <c r="K19" s="6">
        <f t="shared" ref="K19" si="4">+K18/J18-1</f>
        <v>0.1816745655608214</v>
      </c>
      <c r="L19" s="6">
        <f>+$N$7</f>
        <v>0.2</v>
      </c>
      <c r="M19" s="6">
        <f>+$N$7</f>
        <v>0.2</v>
      </c>
      <c r="N19" s="6">
        <f>+$N$7</f>
        <v>0.2</v>
      </c>
      <c r="O19" s="6">
        <f>+$N$7</f>
        <v>0.2</v>
      </c>
    </row>
    <row r="20" spans="2:15">
      <c r="B20" s="1" t="s">
        <v>1</v>
      </c>
      <c r="H20" s="9">
        <f>+H22/(H18*12)</f>
        <v>10.353438228438227</v>
      </c>
      <c r="I20" s="9">
        <f>+I22/(I18*12)</f>
        <v>13.467532467532466</v>
      </c>
      <c r="J20" s="9">
        <f>+J22/(J18*12)</f>
        <v>16.934307530279096</v>
      </c>
      <c r="K20" s="9">
        <f>+K22/(K18*12)</f>
        <v>19.359180035650624</v>
      </c>
      <c r="L20" s="9">
        <f>+$E$7</f>
        <v>19.359180035650624</v>
      </c>
      <c r="M20" s="9">
        <f>+$E$7</f>
        <v>19.359180035650624</v>
      </c>
      <c r="N20" s="9">
        <f>+$E$7</f>
        <v>19.359180035650624</v>
      </c>
      <c r="O20" s="9">
        <f>+$E$7</f>
        <v>19.359180035650624</v>
      </c>
    </row>
    <row r="21" spans="2:15">
      <c r="B21" s="5" t="s">
        <v>10</v>
      </c>
      <c r="E21" s="3"/>
      <c r="F21" s="6"/>
      <c r="G21" s="6"/>
      <c r="H21" s="6"/>
      <c r="I21" s="6">
        <f t="shared" ref="I21" si="5">+I20/H20-1</f>
        <v>0.30077875294997414</v>
      </c>
      <c r="J21" s="6">
        <f t="shared" ref="J21" si="6">+J20/I20-1</f>
        <v>0.25741724188186166</v>
      </c>
      <c r="K21" s="6">
        <f t="shared" ref="K21" si="7">+K20/J20-1</f>
        <v>0.14319289413138248</v>
      </c>
      <c r="L21" s="6">
        <f t="shared" ref="L21" si="8">+L20/K20-1</f>
        <v>0</v>
      </c>
      <c r="M21" s="6">
        <f t="shared" ref="M21" si="9">+M20/L20-1</f>
        <v>0</v>
      </c>
      <c r="N21" s="6">
        <f t="shared" ref="N21" si="10">+N20/M20-1</f>
        <v>0</v>
      </c>
      <c r="O21" s="6">
        <f t="shared" ref="O21" si="11">+O20/N20-1</f>
        <v>0</v>
      </c>
    </row>
    <row r="22" spans="2:15">
      <c r="B22" s="1" t="s">
        <v>40</v>
      </c>
      <c r="H22" s="18">
        <f>+H25+H31</f>
        <v>3553.3</v>
      </c>
      <c r="I22" s="18">
        <f>+I25+I31</f>
        <v>7466.4000000000005</v>
      </c>
      <c r="J22" s="18">
        <f>+J25+J31</f>
        <v>12863.3</v>
      </c>
      <c r="K22" s="18">
        <f>+K25+K31</f>
        <v>17376.8</v>
      </c>
      <c r="L22" s="19">
        <f>+L18*L20*12</f>
        <v>20852.159999999996</v>
      </c>
      <c r="M22" s="19">
        <f t="shared" ref="M22:O22" si="12">+M18*M20*12</f>
        <v>25022.591999999997</v>
      </c>
      <c r="N22" s="19">
        <f t="shared" si="12"/>
        <v>30027.110399999994</v>
      </c>
      <c r="O22" s="19">
        <f t="shared" si="12"/>
        <v>36032.532479999994</v>
      </c>
    </row>
    <row r="23" spans="2:15">
      <c r="B23" s="5" t="s">
        <v>10</v>
      </c>
      <c r="E23" s="3"/>
      <c r="F23" s="6"/>
      <c r="G23" s="6"/>
      <c r="H23" s="6"/>
      <c r="I23" s="6">
        <f t="shared" ref="I23" si="13">+I22/H22-1</f>
        <v>1.1012579855345734</v>
      </c>
      <c r="J23" s="6">
        <f t="shared" ref="J23" si="14">+J22/I22-1</f>
        <v>0.72282492231865403</v>
      </c>
      <c r="K23" s="6">
        <f t="shared" ref="K23" si="15">+K22/J22-1</f>
        <v>0.35088196652491965</v>
      </c>
      <c r="L23" s="6">
        <f t="shared" ref="L23" si="16">+L22/K22-1</f>
        <v>0.19999999999999973</v>
      </c>
      <c r="M23" s="6">
        <f t="shared" ref="M23" si="17">+M22/L22-1</f>
        <v>0.20000000000000018</v>
      </c>
      <c r="N23" s="6">
        <f t="shared" ref="N23" si="18">+N22/M22-1</f>
        <v>0.19999999999999996</v>
      </c>
      <c r="O23" s="6">
        <f t="shared" ref="O23" si="19">+O22/N22-1</f>
        <v>0.19999999999999996</v>
      </c>
    </row>
    <row r="24" spans="2:15">
      <c r="H24" s="9"/>
      <c r="I24" s="9"/>
      <c r="J24" s="9"/>
      <c r="K24" s="9"/>
    </row>
    <row r="25" spans="2:15">
      <c r="B25" s="1" t="s">
        <v>29</v>
      </c>
      <c r="H25" s="96">
        <f>356 +329 +380.3 +437</f>
        <v>1502.3</v>
      </c>
      <c r="I25" s="96">
        <f>459 +445.5+ 516.8 +583</f>
        <v>2004.3</v>
      </c>
      <c r="J25" s="96">
        <f>626.3 +657.9 +713.2 +705.4</f>
        <v>2702.7999999999997</v>
      </c>
      <c r="K25" s="96">
        <f>745.3+ 769.7 +820.2+ 797.1</f>
        <v>3132.2999999999997</v>
      </c>
      <c r="L25" s="19">
        <f>+L$22*L26</f>
        <v>4170.431999999998</v>
      </c>
      <c r="M25" s="19">
        <f t="shared" ref="M25:O25" si="20">+M$22*M26</f>
        <v>5004.5183999999981</v>
      </c>
      <c r="N25" s="19">
        <f t="shared" si="20"/>
        <v>6005.4220799999975</v>
      </c>
      <c r="O25" s="19">
        <f t="shared" si="20"/>
        <v>7206.5064959999972</v>
      </c>
    </row>
    <row r="26" spans="2:15" s="12" customFormat="1">
      <c r="B26" s="13" t="s">
        <v>30</v>
      </c>
      <c r="H26" s="12">
        <f>+H25/H$22</f>
        <v>0.42279008245855959</v>
      </c>
      <c r="I26" s="12">
        <f t="shared" ref="I26:K26" si="21">+I25/I$22</f>
        <v>0.26844262295081966</v>
      </c>
      <c r="J26" s="12">
        <f t="shared" si="21"/>
        <v>0.21011715500688002</v>
      </c>
      <c r="K26" s="12">
        <f t="shared" si="21"/>
        <v>0.18025758482574467</v>
      </c>
      <c r="L26" s="12">
        <f>1-$E$8</f>
        <v>0.19999999999999996</v>
      </c>
      <c r="M26" s="12">
        <f>1-$E$8</f>
        <v>0.19999999999999996</v>
      </c>
      <c r="N26" s="12">
        <f>1-$E$8</f>
        <v>0.19999999999999996</v>
      </c>
      <c r="O26" s="12">
        <f>1-$E$8</f>
        <v>0.19999999999999996</v>
      </c>
    </row>
    <row r="27" spans="2:15">
      <c r="B27" s="1" t="s">
        <v>33</v>
      </c>
      <c r="H27" s="9">
        <f>+H29/H25*1000</f>
        <v>59.775011648805162</v>
      </c>
      <c r="I27" s="9">
        <f>+I29/I25*1000</f>
        <v>62.116449633288433</v>
      </c>
      <c r="J27" s="9">
        <f>+J29/J25*1000</f>
        <v>58.568891519905293</v>
      </c>
      <c r="K27" s="9">
        <f>+K29/K25*1000</f>
        <v>61.201034383679726</v>
      </c>
      <c r="L27" s="9">
        <f>+$E$9</f>
        <v>61.201034383679726</v>
      </c>
      <c r="M27" s="9">
        <f>+$E$9</f>
        <v>61.201034383679726</v>
      </c>
      <c r="N27" s="9">
        <f>+$E$9</f>
        <v>61.201034383679726</v>
      </c>
      <c r="O27" s="9">
        <f>+$E$9</f>
        <v>61.201034383679726</v>
      </c>
    </row>
    <row r="28" spans="2:15">
      <c r="B28" s="5" t="s">
        <v>10</v>
      </c>
      <c r="E28" s="3"/>
      <c r="F28" s="6"/>
      <c r="G28" s="6"/>
      <c r="H28" s="6"/>
      <c r="I28" s="6">
        <f t="shared" ref="I28" si="22">+I27/H27-1</f>
        <v>3.9170849488744164E-2</v>
      </c>
      <c r="J28" s="6">
        <f t="shared" ref="J28" si="23">+J27/I27-1</f>
        <v>-5.7111411459066841E-2</v>
      </c>
      <c r="K28" s="6">
        <f t="shared" ref="K28" si="24">+K27/J27-1</f>
        <v>4.4940971144722175E-2</v>
      </c>
      <c r="L28" s="6">
        <f t="shared" ref="L28" si="25">+L27/K27-1</f>
        <v>0</v>
      </c>
      <c r="M28" s="6">
        <f t="shared" ref="M28" si="26">+M27/L27-1</f>
        <v>0</v>
      </c>
      <c r="N28" s="6">
        <f t="shared" ref="N28" si="27">+N27/M27-1</f>
        <v>0</v>
      </c>
      <c r="O28" s="6">
        <f t="shared" ref="O28" si="28">+O27/N27-1</f>
        <v>0</v>
      </c>
    </row>
    <row r="29" spans="2:15">
      <c r="B29" s="26" t="s">
        <v>32</v>
      </c>
      <c r="C29" s="26"/>
      <c r="D29" s="26"/>
      <c r="E29" s="26"/>
      <c r="F29" s="26"/>
      <c r="G29" s="26"/>
      <c r="H29" s="43">
        <f>14.6+20.4+24.9+29.9</f>
        <v>89.8</v>
      </c>
      <c r="I29" s="43">
        <f>25.7+29.2+33+36.6</f>
        <v>124.5</v>
      </c>
      <c r="J29" s="43">
        <f>31.8+36.2+43.7+46.6</f>
        <v>158.30000000000001</v>
      </c>
      <c r="K29" s="43">
        <f>39.9+44.5+54.3+53</f>
        <v>191.7</v>
      </c>
      <c r="L29" s="30">
        <f>+L25*L27/1000</f>
        <v>255.23475222679809</v>
      </c>
      <c r="M29" s="30">
        <f>+M25*M27/1000</f>
        <v>306.28170267215773</v>
      </c>
      <c r="N29" s="30">
        <f>+N25*N27/1000</f>
        <v>367.53804320658929</v>
      </c>
      <c r="O29" s="30">
        <f>+O25*O27/1000</f>
        <v>441.0456518479071</v>
      </c>
    </row>
    <row r="30" spans="2:15">
      <c r="H30" s="9"/>
      <c r="I30" s="9"/>
      <c r="J30" s="9"/>
      <c r="K30" s="9"/>
    </row>
    <row r="31" spans="2:15">
      <c r="B31" s="1" t="s">
        <v>31</v>
      </c>
      <c r="H31" s="3">
        <f>303 +423 +556 +769</f>
        <v>2051</v>
      </c>
      <c r="I31" s="3">
        <f>1014+1204.6+1397.4+1846.1</f>
        <v>5462.1</v>
      </c>
      <c r="J31" s="3">
        <f>2220.4+2355.7+2501.4+3083</f>
        <v>10160.5</v>
      </c>
      <c r="K31" s="3">
        <f>3375+3298+3501.9+4069.6</f>
        <v>14244.5</v>
      </c>
      <c r="L31" s="9">
        <f>+L$22*L32</f>
        <v>16681.727999999999</v>
      </c>
      <c r="M31" s="9">
        <f t="shared" ref="M31" si="29">+M$22*M32</f>
        <v>20018.0736</v>
      </c>
      <c r="N31" s="9">
        <f t="shared" ref="N31" si="30">+N$22*N32</f>
        <v>24021.688319999997</v>
      </c>
      <c r="O31" s="9">
        <f t="shared" ref="O31" si="31">+O$22*O32</f>
        <v>28826.025983999996</v>
      </c>
    </row>
    <row r="32" spans="2:15" s="12" customFormat="1">
      <c r="B32" s="13" t="s">
        <v>30</v>
      </c>
      <c r="H32" s="12">
        <f>+H31/H$22</f>
        <v>0.57720991754144035</v>
      </c>
      <c r="I32" s="12">
        <f t="shared" ref="I32" si="32">+I31/I$22</f>
        <v>0.73155737704918034</v>
      </c>
      <c r="J32" s="12">
        <f t="shared" ref="J32" si="33">+J31/J$22</f>
        <v>0.78988284499312</v>
      </c>
      <c r="K32" s="12">
        <f t="shared" ref="K32" si="34">+K31/K$22</f>
        <v>0.81974241517425539</v>
      </c>
      <c r="L32" s="12">
        <f>+$E$8</f>
        <v>0.8</v>
      </c>
      <c r="M32" s="12">
        <f>+$E$8</f>
        <v>0.8</v>
      </c>
      <c r="N32" s="12">
        <f>+$E$8</f>
        <v>0.8</v>
      </c>
      <c r="O32" s="12">
        <f>+$E$8</f>
        <v>0.8</v>
      </c>
    </row>
    <row r="33" spans="2:17" s="12" customFormat="1">
      <c r="B33" s="1" t="s">
        <v>80</v>
      </c>
      <c r="H33" s="9">
        <f>CHOOSE(Assumptions!$B$5, H67, H70, H73)</f>
        <v>2</v>
      </c>
      <c r="I33" s="9">
        <f>CHOOSE(Assumptions!$B$5, I67, I70, I73)</f>
        <v>2</v>
      </c>
      <c r="J33" s="9">
        <f>CHOOSE(Assumptions!$B$5, J67, J70, J73)</f>
        <v>2.5</v>
      </c>
      <c r="K33" s="9">
        <f>CHOOSE(Assumptions!$B$5, K67, K70, K73)</f>
        <v>3</v>
      </c>
      <c r="L33" s="9">
        <f>CHOOSE(Assumptions!$B$5, L67, L70, L73)</f>
        <v>3.5</v>
      </c>
      <c r="M33" s="9">
        <f>CHOOSE(Assumptions!$B$5, M67, M70, M73)</f>
        <v>4</v>
      </c>
      <c r="N33" s="9">
        <f>CHOOSE(Assumptions!$B$5, N67, N70, N73)</f>
        <v>4.5</v>
      </c>
      <c r="O33" s="9">
        <f>CHOOSE(Assumptions!$B$5, O67, O70, O73)</f>
        <v>5</v>
      </c>
      <c r="P33" s="12" t="s">
        <v>86</v>
      </c>
    </row>
    <row r="34" spans="2:17" s="12" customFormat="1">
      <c r="B34" s="1" t="s">
        <v>85</v>
      </c>
      <c r="H34" s="19">
        <f>+H33*H31</f>
        <v>4102</v>
      </c>
      <c r="I34" s="19">
        <f>+I33*I31</f>
        <v>10924.2</v>
      </c>
      <c r="J34" s="19">
        <f>+J33*J31</f>
        <v>25401.25</v>
      </c>
      <c r="K34" s="19">
        <f>+K33*K31</f>
        <v>42733.5</v>
      </c>
      <c r="L34" s="19">
        <f t="shared" ref="L34:O34" si="35">+L33*L31</f>
        <v>58386.047999999995</v>
      </c>
      <c r="M34" s="19">
        <f t="shared" si="35"/>
        <v>80072.294399999999</v>
      </c>
      <c r="N34" s="19">
        <f t="shared" si="35"/>
        <v>108097.59743999998</v>
      </c>
      <c r="O34" s="19">
        <f t="shared" si="35"/>
        <v>144130.12991999998</v>
      </c>
    </row>
    <row r="35" spans="2:17" s="12" customFormat="1">
      <c r="B35" s="13" t="s">
        <v>77</v>
      </c>
      <c r="I35" s="12">
        <f>CHOOSE(Assumptions!$B$5, 'Revenue Build'!I68,'Revenue Build'!I71,'Revenue Build'!I74)</f>
        <v>0.3</v>
      </c>
      <c r="J35" s="12">
        <f>CHOOSE(Assumptions!$B$5, 'Revenue Build'!J68,'Revenue Build'!J71,'Revenue Build'!J74)</f>
        <v>0.35</v>
      </c>
      <c r="K35" s="12">
        <f>CHOOSE(Assumptions!$B$5, 'Revenue Build'!K68,'Revenue Build'!K71,'Revenue Build'!K74)</f>
        <v>0.4</v>
      </c>
      <c r="L35" s="12">
        <f>CHOOSE(Assumptions!$B$5, 'Revenue Build'!L68,'Revenue Build'!L71,'Revenue Build'!L74)</f>
        <v>0.45</v>
      </c>
      <c r="M35" s="12">
        <f>CHOOSE(Assumptions!$B$5, 'Revenue Build'!M68,'Revenue Build'!M71,'Revenue Build'!M74)</f>
        <v>0.5</v>
      </c>
      <c r="N35" s="12">
        <f>CHOOSE(Assumptions!$B$5, 'Revenue Build'!N68,'Revenue Build'!N71,'Revenue Build'!N74)</f>
        <v>0.55000000000000004</v>
      </c>
      <c r="O35" s="12">
        <f>CHOOSE(Assumptions!$B$5, 'Revenue Build'!O68,'Revenue Build'!O71,'Revenue Build'!O74)</f>
        <v>0.6</v>
      </c>
      <c r="P35" s="12" t="s">
        <v>86</v>
      </c>
    </row>
    <row r="36" spans="2:17" s="12" customFormat="1">
      <c r="B36" s="1" t="s">
        <v>81</v>
      </c>
      <c r="H36" s="9"/>
      <c r="I36" s="19">
        <f>+I34*I35</f>
        <v>3277.26</v>
      </c>
      <c r="J36" s="19">
        <f t="shared" ref="J36:O36" si="36">+J34*J35</f>
        <v>8890.4375</v>
      </c>
      <c r="K36" s="19">
        <f t="shared" si="36"/>
        <v>17093.400000000001</v>
      </c>
      <c r="L36" s="19">
        <f t="shared" si="36"/>
        <v>26273.721599999997</v>
      </c>
      <c r="M36" s="19">
        <f t="shared" si="36"/>
        <v>40036.147199999999</v>
      </c>
      <c r="N36" s="19">
        <f t="shared" si="36"/>
        <v>59453.678591999997</v>
      </c>
      <c r="O36" s="19">
        <f t="shared" si="36"/>
        <v>86478.077951999978</v>
      </c>
      <c r="P36" s="9"/>
      <c r="Q36" s="9"/>
    </row>
    <row r="37" spans="2:17" s="12" customFormat="1">
      <c r="B37" s="1" t="s">
        <v>83</v>
      </c>
      <c r="I37" s="9">
        <f>+I39*$E$11</f>
        <v>13.456362937331798</v>
      </c>
      <c r="J37" s="9">
        <f>+J39*$E$11</f>
        <v>11.915424109705887</v>
      </c>
      <c r="K37" s="9">
        <f>+K39*$E$11</f>
        <v>12.655644868779763</v>
      </c>
      <c r="L37" s="14">
        <v>14.061827631977513</v>
      </c>
      <c r="M37" s="14">
        <v>14.061827631977513</v>
      </c>
      <c r="N37" s="14">
        <v>14.061827631977513</v>
      </c>
      <c r="O37" s="14">
        <v>14.061827631977513</v>
      </c>
      <c r="Q37" s="9"/>
    </row>
    <row r="38" spans="2:17" s="12" customFormat="1">
      <c r="B38" s="1" t="s">
        <v>82</v>
      </c>
      <c r="I38" s="19">
        <f>+I34*(1-I35)</f>
        <v>7646.94</v>
      </c>
      <c r="J38" s="19">
        <f t="shared" ref="J38:O38" si="37">+J34*(1-J35)</f>
        <v>16510.8125</v>
      </c>
      <c r="K38" s="19">
        <f t="shared" si="37"/>
        <v>25640.1</v>
      </c>
      <c r="L38" s="19">
        <f t="shared" si="37"/>
        <v>32112.326400000002</v>
      </c>
      <c r="M38" s="19">
        <f t="shared" si="37"/>
        <v>40036.147199999999</v>
      </c>
      <c r="N38" s="19">
        <f t="shared" si="37"/>
        <v>48643.918847999987</v>
      </c>
      <c r="O38" s="19">
        <f t="shared" si="37"/>
        <v>57652.051967999992</v>
      </c>
    </row>
    <row r="39" spans="2:17" s="12" customFormat="1">
      <c r="B39" s="1" t="s">
        <v>84</v>
      </c>
      <c r="I39" s="9">
        <f>+I42/((1-I35)*$E$11+I35)/I33</f>
        <v>3.8446751249519422</v>
      </c>
      <c r="J39" s="9">
        <f>+J42/((1-J35)*$E$11+J35)/J33</f>
        <v>3.4044068884873964</v>
      </c>
      <c r="K39" s="9">
        <f>+K42/((1-K35)*$E$11+K35)/K33</f>
        <v>3.6158985339370751</v>
      </c>
      <c r="L39" s="14">
        <v>4.0176650377078609</v>
      </c>
      <c r="M39" s="14">
        <v>4.0176650377078609</v>
      </c>
      <c r="N39" s="14">
        <v>4.0176650377078609</v>
      </c>
      <c r="O39" s="14">
        <v>4.0176650377078609</v>
      </c>
    </row>
    <row r="40" spans="2:17">
      <c r="B40" s="26" t="s">
        <v>35</v>
      </c>
      <c r="C40" s="26"/>
      <c r="D40" s="26"/>
      <c r="E40" s="26"/>
      <c r="F40" s="26"/>
      <c r="G40" s="26"/>
      <c r="H40" s="43">
        <f>3.9+6.3+7.8+11.6</f>
        <v>29.6</v>
      </c>
      <c r="I40" s="43">
        <f>18+29.1+33+35.4</f>
        <v>115.5</v>
      </c>
      <c r="J40" s="43">
        <f>38.8+53.2+62+73</f>
        <v>227</v>
      </c>
      <c r="K40" s="43">
        <f>70.8+90.4+105.7+119.4</f>
        <v>386.29999999999995</v>
      </c>
      <c r="L40" s="30">
        <f>(+L36*L37+L38*L39)/1000</f>
        <v>498.47311544650751</v>
      </c>
      <c r="M40" s="30">
        <f>(+M36*M37+M38*M39)/1000</f>
        <v>723.83322982484458</v>
      </c>
      <c r="N40" s="30">
        <f>(+N36*N37+N38*N39)/1000</f>
        <v>1031.4623525004035</v>
      </c>
      <c r="O40" s="30">
        <f>(+O36*O37+O38*O39)/1000</f>
        <v>1447.6664596496887</v>
      </c>
    </row>
    <row r="41" spans="2:17">
      <c r="B41" s="5" t="s">
        <v>10</v>
      </c>
      <c r="E41" s="3"/>
      <c r="F41" s="6"/>
      <c r="G41" s="6"/>
      <c r="H41" s="6"/>
      <c r="I41" s="6">
        <f t="shared" ref="I41" si="38">+I40/H40-1</f>
        <v>2.9020270270270268</v>
      </c>
      <c r="J41" s="6">
        <f t="shared" ref="J41" si="39">+J40/I40-1</f>
        <v>0.96536796536796543</v>
      </c>
      <c r="K41" s="6">
        <f t="shared" ref="K41" si="40">+K40/J40-1</f>
        <v>0.70176211453744464</v>
      </c>
      <c r="L41" s="6">
        <f>+$E$10</f>
        <v>0.2</v>
      </c>
      <c r="M41" s="6">
        <f>+$E$10</f>
        <v>0.2</v>
      </c>
      <c r="N41" s="6">
        <f>+$E$10</f>
        <v>0.2</v>
      </c>
      <c r="O41" s="6">
        <f>+$E$10</f>
        <v>0.2</v>
      </c>
    </row>
    <row r="42" spans="2:17">
      <c r="B42" s="1" t="s">
        <v>34</v>
      </c>
      <c r="H42" s="9">
        <f t="shared" ref="H42:O42" si="41">+H40/H31*1000</f>
        <v>14.431984397854706</v>
      </c>
      <c r="I42" s="9">
        <f t="shared" si="41"/>
        <v>21.145713187235678</v>
      </c>
      <c r="J42" s="9">
        <f t="shared" si="41"/>
        <v>22.34142020569854</v>
      </c>
      <c r="K42" s="9">
        <f t="shared" si="41"/>
        <v>27.119239004528062</v>
      </c>
      <c r="L42" s="9">
        <f t="shared" si="41"/>
        <v>29.881383717952211</v>
      </c>
      <c r="M42" s="9">
        <f t="shared" si="41"/>
        <v>36.158985339370744</v>
      </c>
      <c r="N42" s="9">
        <f t="shared" si="41"/>
        <v>42.938795090502765</v>
      </c>
      <c r="O42" s="9">
        <f t="shared" si="41"/>
        <v>50.220812971348245</v>
      </c>
    </row>
    <row r="43" spans="2:17">
      <c r="B43" s="5" t="s">
        <v>10</v>
      </c>
      <c r="E43" s="3"/>
      <c r="F43" s="6"/>
      <c r="G43" s="6"/>
      <c r="H43" s="6"/>
      <c r="I43" s="6">
        <f t="shared" ref="I43" si="42">+I42/H42-1</f>
        <v>0.46519789685879642</v>
      </c>
      <c r="J43" s="6">
        <f t="shared" ref="J43" si="43">+J42/I42-1</f>
        <v>5.6546071909489237E-2</v>
      </c>
      <c r="K43" s="6">
        <f t="shared" ref="K43" si="44">+K42/J42-1</f>
        <v>0.21385474848241115</v>
      </c>
      <c r="L43" s="6">
        <f>+$E$10</f>
        <v>0.2</v>
      </c>
      <c r="M43" s="6">
        <f>+$E$10</f>
        <v>0.2</v>
      </c>
      <c r="N43" s="6">
        <f>+$E$10</f>
        <v>0.2</v>
      </c>
      <c r="O43" s="6">
        <f>+$E$10</f>
        <v>0.2</v>
      </c>
    </row>
    <row r="44" spans="2:17">
      <c r="H44" s="9"/>
      <c r="I44" s="9"/>
      <c r="J44" s="9"/>
      <c r="K44" s="9"/>
    </row>
    <row r="45" spans="2:17">
      <c r="B45" s="1" t="s">
        <v>8</v>
      </c>
      <c r="E45" s="14">
        <v>13.314</v>
      </c>
      <c r="F45" s="14">
        <v>18.247</v>
      </c>
      <c r="G45" s="14">
        <v>50.146999999999998</v>
      </c>
      <c r="H45" s="15">
        <f t="shared" ref="H45:O45" si="45">+H29+H40</f>
        <v>119.4</v>
      </c>
      <c r="I45" s="15">
        <f t="shared" si="45"/>
        <v>240</v>
      </c>
      <c r="J45" s="15">
        <f t="shared" si="45"/>
        <v>385.3</v>
      </c>
      <c r="K45" s="15">
        <f t="shared" si="45"/>
        <v>578</v>
      </c>
      <c r="L45" s="15">
        <f t="shared" si="45"/>
        <v>753.7078676733056</v>
      </c>
      <c r="M45" s="15">
        <f t="shared" si="45"/>
        <v>1030.1149324970024</v>
      </c>
      <c r="N45" s="15">
        <f t="shared" si="45"/>
        <v>1399.0003957069928</v>
      </c>
      <c r="O45" s="15">
        <f t="shared" si="45"/>
        <v>1888.7121114975957</v>
      </c>
    </row>
    <row r="46" spans="2:17">
      <c r="B46" s="5" t="s">
        <v>10</v>
      </c>
      <c r="E46" s="3"/>
      <c r="F46" s="6">
        <f>+F45/E45-1</f>
        <v>0.37051224275199046</v>
      </c>
      <c r="G46" s="6">
        <f t="shared" ref="G46:I46" si="46">+G45/F45-1</f>
        <v>1.7482325861785499</v>
      </c>
      <c r="H46" s="6">
        <f t="shared" si="46"/>
        <v>1.3809998604103937</v>
      </c>
      <c r="I46" s="6">
        <f t="shared" si="46"/>
        <v>1.0100502512562812</v>
      </c>
      <c r="J46" s="6">
        <f t="shared" ref="J46" si="47">+J45/I45-1</f>
        <v>0.60541666666666671</v>
      </c>
      <c r="K46" s="6">
        <f t="shared" ref="K46" si="48">+K45/J45-1</f>
        <v>0.50012976901116013</v>
      </c>
      <c r="L46" s="6">
        <f t="shared" ref="L46" si="49">+L45/K45-1</f>
        <v>0.30399285064585735</v>
      </c>
      <c r="M46" s="6">
        <f t="shared" ref="M46" si="50">+M45/L45-1</f>
        <v>0.36672970613530254</v>
      </c>
      <c r="N46" s="6">
        <f t="shared" ref="N46" si="51">+N45/M45-1</f>
        <v>0.3581012677059352</v>
      </c>
      <c r="O46" s="6">
        <f t="shared" ref="O46" si="52">+O45/N45-1</f>
        <v>0.3500440152078188</v>
      </c>
      <c r="Q46" s="1">
        <f>(O45/I45)^(1/6)-1</f>
        <v>0.41034626885972392</v>
      </c>
    </row>
    <row r="47" spans="2:17">
      <c r="H47" s="9"/>
      <c r="I47" s="9"/>
      <c r="J47" s="9"/>
      <c r="K47" s="9"/>
    </row>
    <row r="48" spans="2:17">
      <c r="B48" s="2" t="s">
        <v>4</v>
      </c>
    </row>
    <row r="49" spans="2:15">
      <c r="B49" s="1" t="s">
        <v>6</v>
      </c>
      <c r="H49" s="1">
        <f>+H57-H18</f>
        <v>0.69999999999999929</v>
      </c>
      <c r="I49" s="1">
        <f>+I57-I18</f>
        <v>1</v>
      </c>
      <c r="J49" s="1">
        <f>+J57-J18</f>
        <v>1.4000000000000057</v>
      </c>
      <c r="K49" s="1">
        <f>+K57-K18</f>
        <v>1.5</v>
      </c>
      <c r="L49" s="9">
        <f>+K49*(1+L50)</f>
        <v>1.6500000000000001</v>
      </c>
      <c r="M49" s="9">
        <f t="shared" ref="M49:O49" si="53">+L49*(1+M50)</f>
        <v>1.8150000000000004</v>
      </c>
      <c r="N49" s="9">
        <f t="shared" si="53"/>
        <v>1.9965000000000006</v>
      </c>
      <c r="O49" s="9">
        <f t="shared" si="53"/>
        <v>2.1961500000000007</v>
      </c>
    </row>
    <row r="50" spans="2:15">
      <c r="B50" s="5" t="s">
        <v>10</v>
      </c>
      <c r="E50" s="3"/>
      <c r="F50" s="6"/>
      <c r="G50" s="6"/>
      <c r="H50" s="6"/>
      <c r="I50" s="6">
        <f t="shared" ref="I50" si="54">+I49/H49-1</f>
        <v>0.42857142857142994</v>
      </c>
      <c r="J50" s="6">
        <f t="shared" ref="J50" si="55">+J49/I49-1</f>
        <v>0.40000000000000568</v>
      </c>
      <c r="K50" s="6">
        <f t="shared" ref="K50" si="56">+K49/J49-1</f>
        <v>7.1428571428567178E-2</v>
      </c>
      <c r="L50" s="6">
        <f>+$J$7</f>
        <v>0.1</v>
      </c>
      <c r="M50" s="6">
        <f t="shared" ref="M50:O50" si="57">+$J$7</f>
        <v>0.1</v>
      </c>
      <c r="N50" s="6">
        <f t="shared" si="57"/>
        <v>0.1</v>
      </c>
      <c r="O50" s="6">
        <f t="shared" si="57"/>
        <v>0.1</v>
      </c>
    </row>
    <row r="51" spans="2:15">
      <c r="B51" s="1" t="s">
        <v>1</v>
      </c>
      <c r="H51" s="9">
        <f>+H52/(12*H49)</f>
        <v>46.428571428571473</v>
      </c>
      <c r="I51" s="9">
        <f>+I52/(12*I49)</f>
        <v>66.091666666666626</v>
      </c>
      <c r="J51" s="9">
        <f>+J52/(12*J49)</f>
        <v>66.565476190475877</v>
      </c>
      <c r="K51" s="9">
        <f>+K52/(12*K49)</f>
        <v>76.200000000000117</v>
      </c>
      <c r="L51" s="9">
        <f>+$J$8</f>
        <v>76.200000000000117</v>
      </c>
      <c r="M51" s="9">
        <f t="shared" ref="M51:O51" si="58">+$J$8</f>
        <v>76.200000000000117</v>
      </c>
      <c r="N51" s="9">
        <f t="shared" si="58"/>
        <v>76.200000000000117</v>
      </c>
      <c r="O51" s="9">
        <f t="shared" si="58"/>
        <v>76.200000000000117</v>
      </c>
    </row>
    <row r="52" spans="2:15">
      <c r="B52" s="1" t="s">
        <v>39</v>
      </c>
      <c r="H52" s="19">
        <f>+H59-H22</f>
        <v>390</v>
      </c>
      <c r="I52" s="19">
        <f>+I59-I22</f>
        <v>793.09999999999945</v>
      </c>
      <c r="J52" s="19">
        <f>+J59-J22</f>
        <v>1118.2999999999993</v>
      </c>
      <c r="K52" s="19">
        <f>+K59-K22</f>
        <v>1371.6000000000022</v>
      </c>
      <c r="L52" s="9">
        <f>+L49*L51*12</f>
        <v>1508.7600000000025</v>
      </c>
      <c r="M52" s="9">
        <f t="shared" ref="M52:O52" si="59">+M49*M51*12</f>
        <v>1659.6360000000032</v>
      </c>
      <c r="N52" s="9">
        <f t="shared" si="59"/>
        <v>1825.5996000000032</v>
      </c>
      <c r="O52" s="9">
        <f t="shared" si="59"/>
        <v>2008.1595600000037</v>
      </c>
    </row>
    <row r="53" spans="2:15">
      <c r="B53" s="1" t="s">
        <v>7</v>
      </c>
      <c r="H53" s="9">
        <f>+H54/H49</f>
        <v>26.330000000000027</v>
      </c>
      <c r="I53" s="9">
        <f>+I54/I49</f>
        <v>34.383000000000003</v>
      </c>
      <c r="J53" s="9">
        <f>+J54/J49</f>
        <v>33.071428571428434</v>
      </c>
      <c r="K53" s="9">
        <f>+K54/K49</f>
        <v>36.866666666666667</v>
      </c>
      <c r="L53" s="9">
        <f>+$J$9</f>
        <v>36.866666666666667</v>
      </c>
      <c r="M53" s="9">
        <f>+$J$9</f>
        <v>36.866666666666667</v>
      </c>
      <c r="N53" s="9">
        <f>+$J$9</f>
        <v>36.866666666666667</v>
      </c>
      <c r="O53" s="9">
        <f>+$J$9</f>
        <v>36.866666666666667</v>
      </c>
    </row>
    <row r="54" spans="2:15">
      <c r="B54" s="26" t="s">
        <v>9</v>
      </c>
      <c r="C54" s="26"/>
      <c r="D54" s="26"/>
      <c r="E54" s="44">
        <v>0.98499999999999999</v>
      </c>
      <c r="F54" s="44">
        <v>1.0860000000000001</v>
      </c>
      <c r="G54" s="44">
        <v>5.0419999999999998</v>
      </c>
      <c r="H54" s="44">
        <v>18.431000000000001</v>
      </c>
      <c r="I54" s="44">
        <v>34.383000000000003</v>
      </c>
      <c r="J54" s="44">
        <f>10.2+11.9+12+12.2</f>
        <v>46.3</v>
      </c>
      <c r="K54" s="44">
        <f>12.9+13.8+14.1+14.5</f>
        <v>55.300000000000004</v>
      </c>
      <c r="L54" s="30">
        <f>+L49*L53</f>
        <v>60.830000000000005</v>
      </c>
      <c r="M54" s="30">
        <f t="shared" ref="M54:O54" si="60">+M49*M53</f>
        <v>66.913000000000011</v>
      </c>
      <c r="N54" s="30">
        <f t="shared" si="60"/>
        <v>73.604300000000023</v>
      </c>
      <c r="O54" s="30">
        <f t="shared" si="60"/>
        <v>80.964730000000031</v>
      </c>
    </row>
    <row r="55" spans="2:15">
      <c r="B55" s="5" t="s">
        <v>10</v>
      </c>
      <c r="E55" s="3"/>
      <c r="F55" s="6">
        <f>+F54/E54-1</f>
        <v>0.10253807106599</v>
      </c>
      <c r="G55" s="6">
        <f t="shared" ref="G55" si="61">+G54/F54-1</f>
        <v>3.6427255985267033</v>
      </c>
      <c r="H55" s="6">
        <f t="shared" ref="H55" si="62">+H54/G54-1</f>
        <v>2.6554938516461726</v>
      </c>
      <c r="I55" s="6">
        <f t="shared" ref="I55:K55" si="63">+I54/H54-1</f>
        <v>0.86549834517931745</v>
      </c>
      <c r="J55" s="6">
        <f t="shared" si="63"/>
        <v>0.34659570136404594</v>
      </c>
      <c r="K55" s="6">
        <f t="shared" si="63"/>
        <v>0.19438444924406073</v>
      </c>
      <c r="L55" s="6">
        <f t="shared" ref="L55" si="64">+L54/K54-1</f>
        <v>0.10000000000000009</v>
      </c>
      <c r="M55" s="6">
        <f t="shared" ref="M55" si="65">+M54/L54-1</f>
        <v>0.10000000000000009</v>
      </c>
      <c r="N55" s="6">
        <f t="shared" ref="N55" si="66">+N54/M54-1</f>
        <v>0.10000000000000009</v>
      </c>
      <c r="O55" s="6">
        <f t="shared" ref="O55" si="67">+O54/N54-1</f>
        <v>0.10000000000000009</v>
      </c>
    </row>
    <row r="57" spans="2:15">
      <c r="B57" s="1" t="s">
        <v>38</v>
      </c>
      <c r="G57" s="3">
        <v>16</v>
      </c>
      <c r="H57" s="3">
        <v>29.3</v>
      </c>
      <c r="I57" s="3">
        <v>47.2</v>
      </c>
      <c r="J57" s="3">
        <v>64.7</v>
      </c>
      <c r="K57" s="3">
        <v>76.3</v>
      </c>
      <c r="L57" s="9">
        <f>+L18+L49</f>
        <v>91.41</v>
      </c>
      <c r="M57" s="9">
        <f>+M18+M49</f>
        <v>109.52699999999999</v>
      </c>
      <c r="N57" s="9">
        <f>+N18+N49</f>
        <v>131.25089999999997</v>
      </c>
      <c r="O57" s="9">
        <f>+O18+O49</f>
        <v>157.30142999999995</v>
      </c>
    </row>
    <row r="58" spans="2:15">
      <c r="B58" s="5" t="s">
        <v>10</v>
      </c>
      <c r="E58" s="3"/>
      <c r="F58" s="6"/>
      <c r="G58" s="6"/>
      <c r="H58" s="6"/>
      <c r="I58" s="6">
        <f t="shared" ref="I58" si="68">+I57/H57-1</f>
        <v>0.61092150170648463</v>
      </c>
      <c r="J58" s="6">
        <f t="shared" ref="J58" si="69">+J57/I57-1</f>
        <v>0.37076271186440679</v>
      </c>
      <c r="K58" s="6">
        <f t="shared" ref="K58" si="70">+K57/J57-1</f>
        <v>0.17928902627511589</v>
      </c>
      <c r="L58" s="6">
        <f>+$N$7</f>
        <v>0.2</v>
      </c>
      <c r="M58" s="6">
        <f>+$N$7</f>
        <v>0.2</v>
      </c>
      <c r="N58" s="6">
        <f>+$N$7</f>
        <v>0.2</v>
      </c>
      <c r="O58" s="6">
        <f>+$N$7</f>
        <v>0.2</v>
      </c>
    </row>
    <row r="59" spans="2:15">
      <c r="B59" s="1" t="s">
        <v>2</v>
      </c>
      <c r="G59" s="3">
        <v>1800</v>
      </c>
      <c r="H59" s="3">
        <f>730+838+1040.3+1335</f>
        <v>3943.3</v>
      </c>
      <c r="I59" s="3">
        <f>1637+1843.6+2122.2+2656.7</f>
        <v>8259.5</v>
      </c>
      <c r="J59" s="3">
        <f>3093.9+3300+3505.7+4082</f>
        <v>13981.599999999999</v>
      </c>
      <c r="K59" s="3">
        <f>4429.3+4422.9+4680.2+5216</f>
        <v>18748.400000000001</v>
      </c>
      <c r="L59" s="9">
        <f>+L22+L52</f>
        <v>22360.92</v>
      </c>
      <c r="M59" s="9">
        <f>+M22+M52</f>
        <v>26682.227999999999</v>
      </c>
      <c r="N59" s="9">
        <f>+N22+N52</f>
        <v>31852.71</v>
      </c>
      <c r="O59" s="9">
        <f>+O22+O52</f>
        <v>38040.692039999994</v>
      </c>
    </row>
    <row r="62" spans="2:15">
      <c r="B62" s="1" t="s">
        <v>11</v>
      </c>
      <c r="E62" s="289">
        <f t="shared" ref="E62:O62" si="71">+SUM(E45,E54)</f>
        <v>14.298999999999999</v>
      </c>
      <c r="F62" s="289">
        <f t="shared" si="71"/>
        <v>19.332999999999998</v>
      </c>
      <c r="G62" s="289">
        <f t="shared" si="71"/>
        <v>55.189</v>
      </c>
      <c r="H62" s="289">
        <f t="shared" si="71"/>
        <v>137.83100000000002</v>
      </c>
      <c r="I62" s="289">
        <f t="shared" si="71"/>
        <v>274.38299999999998</v>
      </c>
      <c r="J62" s="289">
        <f t="shared" si="71"/>
        <v>431.6</v>
      </c>
      <c r="K62" s="289">
        <f t="shared" si="71"/>
        <v>633.29999999999995</v>
      </c>
      <c r="L62" s="289">
        <f t="shared" si="71"/>
        <v>814.53786767330564</v>
      </c>
      <c r="M62" s="289">
        <f t="shared" si="71"/>
        <v>1097.0279324970024</v>
      </c>
      <c r="N62" s="289">
        <f t="shared" si="71"/>
        <v>1472.6046957069927</v>
      </c>
      <c r="O62" s="289">
        <f t="shared" si="71"/>
        <v>1969.6768414975959</v>
      </c>
    </row>
    <row r="63" spans="2:15">
      <c r="B63" s="5" t="s">
        <v>10</v>
      </c>
      <c r="E63" s="3"/>
      <c r="F63" s="6">
        <f>+F62/E62-1</f>
        <v>0.35205259109028586</v>
      </c>
      <c r="G63" s="6">
        <f t="shared" ref="G63" si="72">+G62/F62-1</f>
        <v>1.8546526664252836</v>
      </c>
      <c r="H63" s="6">
        <f t="shared" ref="H63" si="73">+H62/G62-1</f>
        <v>1.4974360832774649</v>
      </c>
      <c r="I63" s="6">
        <f t="shared" ref="I63" si="74">+I62/H62-1</f>
        <v>0.99072052005717115</v>
      </c>
      <c r="J63" s="6">
        <f t="shared" ref="J63" si="75">+J62/I62-1</f>
        <v>0.57298374899319593</v>
      </c>
      <c r="K63" s="6">
        <f t="shared" ref="K63" si="76">+K62/J62-1</f>
        <v>0.46733086190917494</v>
      </c>
      <c r="L63" s="6">
        <f t="shared" ref="L63" si="77">+L62/K62-1</f>
        <v>0.28618011633239493</v>
      </c>
      <c r="M63" s="6">
        <f t="shared" ref="M63" si="78">+M62/L62-1</f>
        <v>0.34681022949935802</v>
      </c>
      <c r="N63" s="6">
        <f t="shared" ref="N63" si="79">+N62/M62-1</f>
        <v>0.34235843234649499</v>
      </c>
      <c r="O63" s="6">
        <f t="shared" ref="O63" si="80">+O62/N62-1</f>
        <v>0.33754621809891794</v>
      </c>
    </row>
    <row r="65" spans="2:15">
      <c r="B65" s="2" t="s">
        <v>136</v>
      </c>
    </row>
    <row r="66" spans="2:15">
      <c r="B66" s="1" t="s">
        <v>128</v>
      </c>
    </row>
    <row r="67" spans="2:15">
      <c r="B67" s="42" t="s">
        <v>80</v>
      </c>
      <c r="H67" s="14">
        <v>2</v>
      </c>
      <c r="I67" s="14">
        <v>2</v>
      </c>
      <c r="J67" s="14">
        <v>2.5</v>
      </c>
      <c r="K67" s="14">
        <v>3</v>
      </c>
      <c r="L67" s="14">
        <v>4</v>
      </c>
      <c r="M67" s="14">
        <v>4.5</v>
      </c>
      <c r="N67" s="14">
        <v>5</v>
      </c>
      <c r="O67" s="14">
        <v>5</v>
      </c>
    </row>
    <row r="68" spans="2:15">
      <c r="B68" s="42" t="s">
        <v>77</v>
      </c>
      <c r="I68" s="37">
        <v>0.3</v>
      </c>
      <c r="J68" s="37">
        <v>0.35</v>
      </c>
      <c r="K68" s="37">
        <v>0.4</v>
      </c>
      <c r="L68" s="37">
        <v>0.45</v>
      </c>
      <c r="M68" s="37">
        <v>0.5</v>
      </c>
      <c r="N68" s="37">
        <v>0.55000000000000004</v>
      </c>
      <c r="O68" s="37">
        <v>0.6</v>
      </c>
    </row>
    <row r="69" spans="2:15">
      <c r="B69" s="1" t="s">
        <v>131</v>
      </c>
    </row>
    <row r="70" spans="2:15">
      <c r="B70" s="42" t="s">
        <v>80</v>
      </c>
      <c r="H70" s="14">
        <v>2</v>
      </c>
      <c r="I70" s="14">
        <v>2</v>
      </c>
      <c r="J70" s="14">
        <v>2.5</v>
      </c>
      <c r="K70" s="14">
        <v>3</v>
      </c>
      <c r="L70" s="14">
        <v>3.5</v>
      </c>
      <c r="M70" s="14">
        <v>4</v>
      </c>
      <c r="N70" s="14">
        <v>4.5</v>
      </c>
      <c r="O70" s="14">
        <v>5</v>
      </c>
    </row>
    <row r="71" spans="2:15">
      <c r="B71" s="42" t="s">
        <v>77</v>
      </c>
      <c r="I71" s="37">
        <v>0.3</v>
      </c>
      <c r="J71" s="37">
        <v>0.35</v>
      </c>
      <c r="K71" s="37">
        <v>0.4</v>
      </c>
      <c r="L71" s="37">
        <v>0.45</v>
      </c>
      <c r="M71" s="37">
        <v>0.5</v>
      </c>
      <c r="N71" s="37">
        <v>0.55000000000000004</v>
      </c>
      <c r="O71" s="37">
        <v>0.6</v>
      </c>
    </row>
    <row r="72" spans="2:15">
      <c r="B72" s="1" t="s">
        <v>132</v>
      </c>
    </row>
    <row r="73" spans="2:15">
      <c r="B73" s="42" t="s">
        <v>80</v>
      </c>
      <c r="H73" s="14">
        <v>2</v>
      </c>
      <c r="I73" s="14">
        <v>2</v>
      </c>
      <c r="J73" s="14">
        <v>2.5</v>
      </c>
      <c r="K73" s="14">
        <v>3</v>
      </c>
      <c r="L73" s="14">
        <v>3.5</v>
      </c>
      <c r="M73" s="14">
        <v>4</v>
      </c>
      <c r="N73" s="14">
        <v>4.5</v>
      </c>
      <c r="O73" s="14">
        <v>5</v>
      </c>
    </row>
    <row r="74" spans="2:15">
      <c r="B74" s="42" t="s">
        <v>77</v>
      </c>
      <c r="I74" s="37">
        <v>0.3</v>
      </c>
      <c r="J74" s="37">
        <v>0.3</v>
      </c>
      <c r="K74" s="37">
        <v>0.35</v>
      </c>
      <c r="L74" s="37">
        <v>0.4</v>
      </c>
      <c r="M74" s="37">
        <v>0.4</v>
      </c>
      <c r="N74" s="37">
        <v>0.45</v>
      </c>
      <c r="O74" s="37">
        <v>0.45</v>
      </c>
    </row>
  </sheetData>
  <conditionalFormatting sqref="B15:O63">
    <cfRule type="expression" dxfId="1" priority="1">
      <formula>$O$4=1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3"/>
  <sheetViews>
    <sheetView showGridLines="0" workbookViewId="0"/>
  </sheetViews>
  <sheetFormatPr defaultRowHeight="12.75"/>
  <cols>
    <col min="1" max="1" width="9.140625" style="1" customWidth="1"/>
    <col min="2" max="16384" width="9.140625" style="1"/>
  </cols>
  <sheetData>
    <row r="2" spans="2:15" ht="20.25">
      <c r="B2" s="4" t="s">
        <v>13</v>
      </c>
    </row>
    <row r="3" spans="2:15" s="75" customFormat="1" ht="15.75">
      <c r="B3" s="76" t="str">
        <f>+Assumptions!C5</f>
        <v>Base Case</v>
      </c>
    </row>
    <row r="4" spans="2:15">
      <c r="B4" s="1" t="s">
        <v>36</v>
      </c>
      <c r="N4" s="1" t="s">
        <v>139</v>
      </c>
      <c r="O4" s="93">
        <v>0</v>
      </c>
    </row>
    <row r="6" spans="2:15">
      <c r="E6" s="10" t="s">
        <v>23</v>
      </c>
      <c r="F6" s="10"/>
      <c r="G6" s="10"/>
      <c r="H6" s="10"/>
      <c r="I6" s="10"/>
      <c r="J6" s="10"/>
      <c r="K6" s="10"/>
      <c r="L6" s="10"/>
      <c r="M6" s="10"/>
      <c r="N6" s="10"/>
      <c r="O6" s="10"/>
    </row>
    <row r="7" spans="2:15">
      <c r="E7" s="7">
        <v>2008</v>
      </c>
      <c r="F7" s="7">
        <f>+E7+1</f>
        <v>2009</v>
      </c>
      <c r="G7" s="7">
        <f t="shared" ref="G7:O7" si="0">+F7+1</f>
        <v>2010</v>
      </c>
      <c r="H7" s="7">
        <f t="shared" si="0"/>
        <v>2011</v>
      </c>
      <c r="I7" s="7">
        <f t="shared" si="0"/>
        <v>2012</v>
      </c>
      <c r="J7" s="8">
        <f t="shared" si="0"/>
        <v>2013</v>
      </c>
      <c r="K7" s="8">
        <f t="shared" si="0"/>
        <v>2014</v>
      </c>
      <c r="L7" s="8">
        <f t="shared" si="0"/>
        <v>2015</v>
      </c>
      <c r="M7" s="8">
        <f t="shared" si="0"/>
        <v>2016</v>
      </c>
      <c r="N7" s="8">
        <f t="shared" si="0"/>
        <v>2017</v>
      </c>
      <c r="O7" s="8">
        <f t="shared" si="0"/>
        <v>2018</v>
      </c>
    </row>
    <row r="8" spans="2:15">
      <c r="B8" s="11" t="s">
        <v>66</v>
      </c>
      <c r="E8" s="22">
        <f>+'Revenue Build'!E45</f>
        <v>13.314</v>
      </c>
      <c r="F8" s="22">
        <f>+'Revenue Build'!F45</f>
        <v>18.247</v>
      </c>
      <c r="G8" s="22">
        <f>+'Revenue Build'!G45</f>
        <v>50.146999999999998</v>
      </c>
      <c r="H8" s="22">
        <f>+'Revenue Build'!H45</f>
        <v>119.4</v>
      </c>
      <c r="I8" s="22">
        <f>+'Revenue Build'!I45</f>
        <v>240</v>
      </c>
      <c r="J8" s="22">
        <f>+'Revenue Build'!J45</f>
        <v>385.3</v>
      </c>
      <c r="K8" s="22">
        <f>+'Revenue Build'!K45</f>
        <v>578</v>
      </c>
      <c r="L8" s="22">
        <f>+'Revenue Build'!L45</f>
        <v>753.7078676733056</v>
      </c>
      <c r="M8" s="22">
        <f>+'Revenue Build'!M45</f>
        <v>1030.1149324970024</v>
      </c>
      <c r="N8" s="22">
        <f>+'Revenue Build'!N45</f>
        <v>1399.0003957069928</v>
      </c>
      <c r="O8" s="22">
        <f>+'Revenue Build'!O45</f>
        <v>1888.7121114975957</v>
      </c>
    </row>
    <row r="9" spans="2:15">
      <c r="B9" s="11" t="s">
        <v>67</v>
      </c>
      <c r="E9" s="22">
        <f>+'Revenue Build'!E54</f>
        <v>0.98499999999999999</v>
      </c>
      <c r="F9" s="22">
        <f>+'Revenue Build'!F54</f>
        <v>1.0860000000000001</v>
      </c>
      <c r="G9" s="22">
        <f>+'Revenue Build'!G54</f>
        <v>5.0419999999999998</v>
      </c>
      <c r="H9" s="22">
        <f>+'Revenue Build'!H54</f>
        <v>18.431000000000001</v>
      </c>
      <c r="I9" s="22">
        <f>+'Revenue Build'!I54</f>
        <v>34.383000000000003</v>
      </c>
      <c r="J9" s="22">
        <f>+'Revenue Build'!J54</f>
        <v>46.3</v>
      </c>
      <c r="K9" s="22">
        <f>+'Revenue Build'!K54</f>
        <v>55.300000000000004</v>
      </c>
      <c r="L9" s="22">
        <f>+'Revenue Build'!L54</f>
        <v>60.830000000000005</v>
      </c>
      <c r="M9" s="22">
        <f>+'Revenue Build'!M54</f>
        <v>66.913000000000011</v>
      </c>
      <c r="N9" s="22">
        <f>+'Revenue Build'!N54</f>
        <v>73.604300000000023</v>
      </c>
      <c r="O9" s="22">
        <f>+'Revenue Build'!O54</f>
        <v>80.964730000000031</v>
      </c>
    </row>
    <row r="10" spans="2:15">
      <c r="B10" s="26" t="s">
        <v>11</v>
      </c>
      <c r="C10" s="26"/>
      <c r="D10" s="26"/>
      <c r="E10" s="39">
        <f>+'Revenue Build'!E62</f>
        <v>14.298999999999999</v>
      </c>
      <c r="F10" s="39">
        <f>+'Revenue Build'!F62</f>
        <v>19.332999999999998</v>
      </c>
      <c r="G10" s="39">
        <f>+'Revenue Build'!G62</f>
        <v>55.189</v>
      </c>
      <c r="H10" s="39">
        <f>+'Revenue Build'!H62</f>
        <v>137.83100000000002</v>
      </c>
      <c r="I10" s="39">
        <f>+'Revenue Build'!I62</f>
        <v>274.38299999999998</v>
      </c>
      <c r="J10" s="39">
        <f>+'Revenue Build'!J62</f>
        <v>431.6</v>
      </c>
      <c r="K10" s="39">
        <f>+'Revenue Build'!K62</f>
        <v>633.29999999999995</v>
      </c>
      <c r="L10" s="39">
        <f>+'Revenue Build'!L62</f>
        <v>814.53786767330564</v>
      </c>
      <c r="M10" s="39">
        <f>+'Revenue Build'!M62</f>
        <v>1097.0279324970024</v>
      </c>
      <c r="N10" s="39">
        <f>+'Revenue Build'!N62</f>
        <v>1472.6046957069927</v>
      </c>
      <c r="O10" s="39">
        <f>+'Revenue Build'!O62</f>
        <v>1969.6768414975959</v>
      </c>
    </row>
    <row r="11" spans="2:15">
      <c r="B11" s="40"/>
      <c r="C11" s="40"/>
      <c r="D11" s="40"/>
      <c r="E11" s="41"/>
      <c r="F11" s="41"/>
      <c r="G11" s="41"/>
      <c r="H11" s="41"/>
      <c r="I11" s="41"/>
      <c r="J11" s="41"/>
      <c r="K11" s="41"/>
      <c r="L11" s="41"/>
      <c r="M11" s="41"/>
      <c r="N11" s="41"/>
      <c r="O11" s="41"/>
    </row>
    <row r="12" spans="2:15">
      <c r="B12" s="40" t="s">
        <v>71</v>
      </c>
      <c r="C12" s="40"/>
      <c r="D12" s="40"/>
      <c r="E12" s="41"/>
      <c r="F12" s="41"/>
      <c r="G12" s="94"/>
      <c r="H12" s="94">
        <f>+'Revenue Build'!H22</f>
        <v>3553.3</v>
      </c>
      <c r="I12" s="94">
        <f>+'Revenue Build'!I22</f>
        <v>7466.4000000000005</v>
      </c>
      <c r="J12" s="94">
        <f>+'Revenue Build'!J22</f>
        <v>12863.3</v>
      </c>
      <c r="K12" s="94">
        <f>+'Revenue Build'!K22</f>
        <v>17376.8</v>
      </c>
      <c r="L12" s="94">
        <f>+'Revenue Build'!L22</f>
        <v>20852.159999999996</v>
      </c>
      <c r="M12" s="94">
        <f>+'Revenue Build'!M22</f>
        <v>25022.591999999997</v>
      </c>
      <c r="N12" s="94">
        <f>+'Revenue Build'!N22</f>
        <v>30027.110399999994</v>
      </c>
      <c r="O12" s="94">
        <f>+'Revenue Build'!O22</f>
        <v>36032.532479999994</v>
      </c>
    </row>
    <row r="13" spans="2:15">
      <c r="B13" s="40" t="s">
        <v>72</v>
      </c>
      <c r="C13" s="40"/>
      <c r="D13" s="40"/>
      <c r="E13" s="41"/>
      <c r="F13" s="41"/>
      <c r="G13" s="94"/>
      <c r="H13" s="94">
        <f>+'Revenue Build'!H52</f>
        <v>390</v>
      </c>
      <c r="I13" s="94">
        <f>+'Revenue Build'!I52</f>
        <v>793.09999999999945</v>
      </c>
      <c r="J13" s="94">
        <f>+'Revenue Build'!J52</f>
        <v>1118.2999999999993</v>
      </c>
      <c r="K13" s="94">
        <f>+'Revenue Build'!K52</f>
        <v>1371.6000000000022</v>
      </c>
      <c r="L13" s="94">
        <f>+'Revenue Build'!L52</f>
        <v>1508.7600000000025</v>
      </c>
      <c r="M13" s="94">
        <f>+'Revenue Build'!M52</f>
        <v>1659.6360000000032</v>
      </c>
      <c r="N13" s="94">
        <f>+'Revenue Build'!N52</f>
        <v>1825.5996000000032</v>
      </c>
      <c r="O13" s="94">
        <f>+'Revenue Build'!O52</f>
        <v>2008.1595600000037</v>
      </c>
    </row>
    <row r="14" spans="2:15">
      <c r="B14" s="11" t="s">
        <v>45</v>
      </c>
      <c r="E14" s="22"/>
      <c r="F14" s="22"/>
      <c r="G14" s="95">
        <f>+'Revenue Build'!G59</f>
        <v>1800</v>
      </c>
      <c r="H14" s="95">
        <f>+'Revenue Build'!H59</f>
        <v>3943.3</v>
      </c>
      <c r="I14" s="95">
        <f>+'Revenue Build'!I59</f>
        <v>8259.5</v>
      </c>
      <c r="J14" s="95">
        <f>+'Revenue Build'!J59</f>
        <v>13981.599999999999</v>
      </c>
      <c r="K14" s="95">
        <f>+'Revenue Build'!K59</f>
        <v>18748.400000000001</v>
      </c>
      <c r="L14" s="95">
        <f>+'Revenue Build'!L59</f>
        <v>22360.92</v>
      </c>
      <c r="M14" s="95">
        <f>+'Revenue Build'!M59</f>
        <v>26682.227999999999</v>
      </c>
      <c r="N14" s="95">
        <f>+'Revenue Build'!N59</f>
        <v>31852.71</v>
      </c>
      <c r="O14" s="95">
        <f>+'Revenue Build'!O59</f>
        <v>38040.692039999994</v>
      </c>
    </row>
    <row r="15" spans="2:15" s="9" customFormat="1"/>
    <row r="16" spans="2:15" s="9" customFormat="1"/>
    <row r="17" spans="2:15" s="9" customFormat="1">
      <c r="E17" s="3"/>
    </row>
    <row r="18" spans="2:15">
      <c r="B18" s="1" t="s">
        <v>24</v>
      </c>
      <c r="E18" s="14">
        <v>5.85</v>
      </c>
      <c r="F18" s="14">
        <v>7.3979999999999997</v>
      </c>
      <c r="G18" s="14">
        <v>7.8920000000000003</v>
      </c>
      <c r="H18" s="14">
        <v>11.558999999999999</v>
      </c>
      <c r="I18" s="14">
        <v>22.759</v>
      </c>
      <c r="J18" s="9">
        <f t="shared" ref="J18:O18" si="1">+J$10*J19</f>
        <v>34.528000000000006</v>
      </c>
      <c r="K18" s="9">
        <f t="shared" si="1"/>
        <v>50.663999999999994</v>
      </c>
      <c r="L18" s="9">
        <f t="shared" si="1"/>
        <v>65.16302941386445</v>
      </c>
      <c r="M18" s="9">
        <f t="shared" si="1"/>
        <v>87.762234599760191</v>
      </c>
      <c r="N18" s="9">
        <f t="shared" si="1"/>
        <v>117.80837565655942</v>
      </c>
      <c r="O18" s="9">
        <f t="shared" si="1"/>
        <v>157.57414731980768</v>
      </c>
    </row>
    <row r="19" spans="2:15">
      <c r="B19" s="5" t="s">
        <v>46</v>
      </c>
      <c r="E19" s="23">
        <f>+E18/E$10</f>
        <v>0.40911951884747183</v>
      </c>
      <c r="F19" s="23">
        <f>+F18/F$10</f>
        <v>0.38266177003051777</v>
      </c>
      <c r="G19" s="23">
        <f>+G18/G$10</f>
        <v>0.14299951077207415</v>
      </c>
      <c r="H19" s="23">
        <f>+H18/H$10</f>
        <v>8.3863572055633329E-2</v>
      </c>
      <c r="I19" s="23">
        <f>+I18/I$10</f>
        <v>8.294610088817457E-2</v>
      </c>
      <c r="J19" s="36">
        <v>0.08</v>
      </c>
      <c r="K19" s="36">
        <v>0.08</v>
      </c>
      <c r="L19" s="36">
        <v>0.08</v>
      </c>
      <c r="M19" s="36">
        <v>0.08</v>
      </c>
      <c r="N19" s="36">
        <v>0.08</v>
      </c>
      <c r="O19" s="36">
        <v>0.08</v>
      </c>
    </row>
    <row r="20" spans="2:15">
      <c r="B20" s="5" t="s">
        <v>10</v>
      </c>
      <c r="E20" s="23"/>
      <c r="F20" s="23">
        <f>+F18/E18-1</f>
        <v>0.2646153846153847</v>
      </c>
      <c r="G20" s="23">
        <f t="shared" ref="G20:O20" si="2">+G18/F18-1</f>
        <v>6.6774804001081378E-2</v>
      </c>
      <c r="H20" s="23">
        <f t="shared" si="2"/>
        <v>0.46464774455144431</v>
      </c>
      <c r="I20" s="23">
        <f t="shared" si="2"/>
        <v>0.96894194999567462</v>
      </c>
      <c r="J20" s="23">
        <f t="shared" si="2"/>
        <v>0.51711410870424901</v>
      </c>
      <c r="K20" s="23">
        <f t="shared" si="2"/>
        <v>0.46733086190917472</v>
      </c>
      <c r="L20" s="23">
        <f t="shared" si="2"/>
        <v>0.28618011633239493</v>
      </c>
      <c r="M20" s="23">
        <f t="shared" si="2"/>
        <v>0.34681022949935802</v>
      </c>
      <c r="N20" s="23">
        <f t="shared" si="2"/>
        <v>0.34235843234649499</v>
      </c>
      <c r="O20" s="23">
        <f t="shared" si="2"/>
        <v>0.33754621809891794</v>
      </c>
    </row>
    <row r="21" spans="2:15">
      <c r="B21" s="1" t="s">
        <v>25</v>
      </c>
      <c r="E21" s="14">
        <v>5.9320000000000004</v>
      </c>
      <c r="F21" s="14">
        <v>6.1159999999999997</v>
      </c>
      <c r="G21" s="14">
        <v>6.0259999999999998</v>
      </c>
      <c r="H21" s="14">
        <v>6.7359999999999998</v>
      </c>
      <c r="I21" s="14">
        <v>13.425000000000001</v>
      </c>
      <c r="J21" s="9">
        <f>+I21*(1+J23)</f>
        <v>16.11</v>
      </c>
      <c r="K21" s="9">
        <f t="shared" ref="K21:O21" si="3">+J21*(1+K23)</f>
        <v>19.1709</v>
      </c>
      <c r="L21" s="9">
        <f t="shared" si="3"/>
        <v>22.621661999999997</v>
      </c>
      <c r="M21" s="9">
        <f t="shared" si="3"/>
        <v>26.467344539999996</v>
      </c>
      <c r="N21" s="9">
        <f t="shared" si="3"/>
        <v>30.702119666399994</v>
      </c>
      <c r="O21" s="9">
        <f t="shared" si="3"/>
        <v>35.307437616359991</v>
      </c>
    </row>
    <row r="22" spans="2:15">
      <c r="B22" s="5" t="s">
        <v>46</v>
      </c>
      <c r="E22" s="23">
        <f>+E21/E$10</f>
        <v>0.41485418560738518</v>
      </c>
      <c r="F22" s="23">
        <f>+F21/F$10</f>
        <v>0.31635028190141212</v>
      </c>
      <c r="G22" s="23">
        <f>+G21/G$10</f>
        <v>0.10918842522966533</v>
      </c>
      <c r="H22" s="23">
        <f>+H21/H$10</f>
        <v>4.8871444014771705E-2</v>
      </c>
      <c r="I22" s="23">
        <f>+I21/I$10</f>
        <v>4.8927958364767501E-2</v>
      </c>
      <c r="J22" s="23">
        <f t="shared" ref="J22:O22" si="4">+J21/J$10</f>
        <v>3.7326227988878587E-2</v>
      </c>
      <c r="K22" s="23">
        <f t="shared" si="4"/>
        <v>3.0271435338702038E-2</v>
      </c>
      <c r="L22" s="23">
        <f t="shared" si="4"/>
        <v>2.7772388366200648E-2</v>
      </c>
      <c r="M22" s="23">
        <f t="shared" si="4"/>
        <v>2.4126408960031029E-2</v>
      </c>
      <c r="N22" s="23">
        <f t="shared" si="4"/>
        <v>2.0848853569395965E-2</v>
      </c>
      <c r="O22" s="23">
        <f t="shared" si="4"/>
        <v>1.7925497661593483E-2</v>
      </c>
    </row>
    <row r="23" spans="2:15">
      <c r="B23" s="5" t="s">
        <v>10</v>
      </c>
      <c r="E23" s="23"/>
      <c r="F23" s="23">
        <f>+F21/E21-1</f>
        <v>3.1018206338502941E-2</v>
      </c>
      <c r="G23" s="23">
        <f>+G21/F21-1</f>
        <v>-1.4715500327011077E-2</v>
      </c>
      <c r="H23" s="23">
        <f>+H21/G21-1</f>
        <v>0.11782276800531033</v>
      </c>
      <c r="I23" s="23">
        <f>+I21/H21-1</f>
        <v>0.99302256532066524</v>
      </c>
      <c r="J23" s="36">
        <v>0.2</v>
      </c>
      <c r="K23" s="36">
        <v>0.19</v>
      </c>
      <c r="L23" s="36">
        <v>0.18</v>
      </c>
      <c r="M23" s="36">
        <v>0.17</v>
      </c>
      <c r="N23" s="36">
        <v>0.16</v>
      </c>
      <c r="O23" s="36">
        <v>0.15</v>
      </c>
    </row>
    <row r="24" spans="2:15">
      <c r="B24" s="1" t="s">
        <v>26</v>
      </c>
      <c r="E24" s="14">
        <v>8.2140000000000004</v>
      </c>
      <c r="F24" s="14">
        <v>13.265000000000001</v>
      </c>
      <c r="G24" s="14">
        <v>17.425999999999998</v>
      </c>
      <c r="H24" s="14">
        <v>36.25</v>
      </c>
      <c r="I24" s="14">
        <v>65.010000000000005</v>
      </c>
      <c r="J24" s="9">
        <f>+J$10*J25</f>
        <v>102.25967352204768</v>
      </c>
      <c r="K24" s="9">
        <f t="shared" ref="K24" si="5">+K$10*K25</f>
        <v>150.04877488765706</v>
      </c>
      <c r="L24" s="9">
        <f t="shared" ref="L24" si="6">+L$10*L25</f>
        <v>192.98975074054007</v>
      </c>
      <c r="M24" s="9">
        <f t="shared" ref="M24" si="7">+M$10*M25</f>
        <v>241.34614514934054</v>
      </c>
      <c r="N24" s="9">
        <f t="shared" ref="N24" si="8">+N$10*N25</f>
        <v>294.52093914139857</v>
      </c>
      <c r="O24" s="9">
        <f t="shared" ref="O24" si="9">+O$10*O25</f>
        <v>354.54183146956723</v>
      </c>
    </row>
    <row r="25" spans="2:15">
      <c r="B25" s="5" t="s">
        <v>46</v>
      </c>
      <c r="E25" s="23">
        <f>+E24/E$10</f>
        <v>0.57444576543814263</v>
      </c>
      <c r="F25" s="23">
        <f t="shared" ref="F25" si="10">+F24/F$10</f>
        <v>0.6861325195261988</v>
      </c>
      <c r="G25" s="23">
        <f t="shared" ref="G25" si="11">+G24/G$10</f>
        <v>0.31575132725724325</v>
      </c>
      <c r="H25" s="23">
        <f t="shared" ref="H25" si="12">+H24/H$10</f>
        <v>0.26300324310205975</v>
      </c>
      <c r="I25" s="23">
        <f t="shared" ref="I25" si="13">+I24/I$10</f>
        <v>0.23693158832726521</v>
      </c>
      <c r="J25" s="37">
        <f>+I25</f>
        <v>0.23693158832726521</v>
      </c>
      <c r="K25" s="37">
        <f t="shared" ref="K25:L25" si="14">+J25</f>
        <v>0.23693158832726521</v>
      </c>
      <c r="L25" s="37">
        <f t="shared" si="14"/>
        <v>0.23693158832726521</v>
      </c>
      <c r="M25" s="37">
        <v>0.22</v>
      </c>
      <c r="N25" s="37">
        <v>0.2</v>
      </c>
      <c r="O25" s="37">
        <v>0.18</v>
      </c>
    </row>
    <row r="26" spans="2:15">
      <c r="B26" s="5" t="s">
        <v>10</v>
      </c>
      <c r="E26" s="23"/>
      <c r="F26" s="23">
        <f>+F24/E24-1</f>
        <v>0.61492573654735816</v>
      </c>
      <c r="G26" s="23">
        <f t="shared" ref="G26:O26" si="15">+G24/F24-1</f>
        <v>0.31368262344515618</v>
      </c>
      <c r="H26" s="23">
        <f t="shared" si="15"/>
        <v>1.0802249512223119</v>
      </c>
      <c r="I26" s="23">
        <f t="shared" si="15"/>
        <v>0.79337931034482767</v>
      </c>
      <c r="J26" s="23">
        <f t="shared" si="15"/>
        <v>0.57298374899319593</v>
      </c>
      <c r="K26" s="23">
        <f t="shared" si="15"/>
        <v>0.46733086190917494</v>
      </c>
      <c r="L26" s="23">
        <f t="shared" si="15"/>
        <v>0.28618011633239471</v>
      </c>
      <c r="M26" s="23">
        <f t="shared" si="15"/>
        <v>0.25056457259127685</v>
      </c>
      <c r="N26" s="23">
        <f t="shared" si="15"/>
        <v>0.22032584758772278</v>
      </c>
      <c r="O26" s="23">
        <f t="shared" si="15"/>
        <v>0.20379159628902577</v>
      </c>
    </row>
    <row r="27" spans="2:15">
      <c r="B27" s="1" t="s">
        <v>27</v>
      </c>
      <c r="E27" s="14">
        <v>2.577</v>
      </c>
      <c r="F27" s="14">
        <v>4.1900000000000004</v>
      </c>
      <c r="G27" s="14">
        <v>6.3579999999999997</v>
      </c>
      <c r="H27" s="14">
        <v>14.183</v>
      </c>
      <c r="I27" s="14">
        <v>35.427999999999997</v>
      </c>
      <c r="J27" s="9">
        <f>+I27*(1+J29)</f>
        <v>53.141999999999996</v>
      </c>
      <c r="K27" s="9">
        <f t="shared" ref="K27:O27" si="16">+J27*(1+K29)</f>
        <v>77.055899999999994</v>
      </c>
      <c r="L27" s="9">
        <f t="shared" si="16"/>
        <v>107.87825999999998</v>
      </c>
      <c r="M27" s="9">
        <f t="shared" si="16"/>
        <v>140.24173799999997</v>
      </c>
      <c r="N27" s="9">
        <f t="shared" si="16"/>
        <v>168.29008559999997</v>
      </c>
      <c r="O27" s="9">
        <f t="shared" si="16"/>
        <v>185.11909415999997</v>
      </c>
    </row>
    <row r="28" spans="2:15">
      <c r="B28" s="5" t="s">
        <v>46</v>
      </c>
      <c r="E28" s="23">
        <f>+E27/E$10</f>
        <v>0.18022239317434785</v>
      </c>
      <c r="F28" s="23">
        <f t="shared" ref="F28" si="17">+F27/F$10</f>
        <v>0.21672787461852794</v>
      </c>
      <c r="G28" s="23">
        <f t="shared" ref="G28" si="18">+G27/G$10</f>
        <v>0.11520411676239829</v>
      </c>
      <c r="H28" s="23">
        <f t="shared" ref="H28" si="19">+H27/H$10</f>
        <v>0.10290137922528313</v>
      </c>
      <c r="I28" s="23">
        <f t="shared" ref="I28" si="20">+I27/I$10</f>
        <v>0.12911878651374173</v>
      </c>
      <c r="J28" s="23">
        <f t="shared" ref="J28" si="21">+J27/J$10</f>
        <v>0.12312789620018534</v>
      </c>
      <c r="K28" s="23">
        <f t="shared" ref="K28" si="22">+K27/K$10</f>
        <v>0.12167361440075794</v>
      </c>
      <c r="L28" s="23">
        <f t="shared" ref="L28" si="23">+L27/L$10</f>
        <v>0.1324410617128825</v>
      </c>
      <c r="M28" s="23">
        <f t="shared" ref="M28" si="24">+M27/M$10</f>
        <v>0.12783789167591061</v>
      </c>
      <c r="N28" s="23">
        <f t="shared" ref="N28" si="25">+N27/N$10</f>
        <v>0.11428055749829348</v>
      </c>
      <c r="O28" s="23">
        <f t="shared" ref="O28" si="26">+O27/O$10</f>
        <v>9.3984500533219023E-2</v>
      </c>
    </row>
    <row r="29" spans="2:15">
      <c r="B29" s="5" t="s">
        <v>10</v>
      </c>
      <c r="E29" s="23"/>
      <c r="F29" s="23">
        <f>+F27/E27-1</f>
        <v>0.6259216142801709</v>
      </c>
      <c r="G29" s="23">
        <f t="shared" ref="G29:I29" si="27">+G27/F27-1</f>
        <v>0.51742243436754154</v>
      </c>
      <c r="H29" s="23">
        <f t="shared" si="27"/>
        <v>1.2307329348851841</v>
      </c>
      <c r="I29" s="23">
        <f t="shared" si="27"/>
        <v>1.4979200451244448</v>
      </c>
      <c r="J29" s="37">
        <v>0.5</v>
      </c>
      <c r="K29" s="37">
        <v>0.45</v>
      </c>
      <c r="L29" s="37">
        <v>0.4</v>
      </c>
      <c r="M29" s="37">
        <v>0.3</v>
      </c>
      <c r="N29" s="37">
        <v>0.2</v>
      </c>
      <c r="O29" s="37">
        <v>0.1</v>
      </c>
    </row>
    <row r="30" spans="2:15">
      <c r="B30" s="1" t="s">
        <v>28</v>
      </c>
      <c r="E30" s="14">
        <v>6.4020000000000001</v>
      </c>
      <c r="F30" s="14">
        <v>15.771000000000001</v>
      </c>
      <c r="G30" s="14">
        <v>32.945999999999998</v>
      </c>
      <c r="H30" s="14">
        <v>69.356999999999999</v>
      </c>
      <c r="I30" s="14">
        <v>148.708</v>
      </c>
      <c r="J30" s="9">
        <f>+J51</f>
        <v>268.44329999999997</v>
      </c>
      <c r="K30" s="9">
        <f t="shared" ref="K30:O30" si="28">+K51</f>
        <v>386.16780000000006</v>
      </c>
      <c r="L30" s="9">
        <f t="shared" si="28"/>
        <v>494.47386</v>
      </c>
      <c r="M30" s="9">
        <f t="shared" si="28"/>
        <v>630.22357800000009</v>
      </c>
      <c r="N30" s="9">
        <f t="shared" si="28"/>
        <v>800.06423219999999</v>
      </c>
      <c r="O30" s="9">
        <f t="shared" si="28"/>
        <v>1012.2089977799999</v>
      </c>
    </row>
    <row r="31" spans="2:15">
      <c r="B31" s="5" t="s">
        <v>46</v>
      </c>
      <c r="E31" s="23">
        <f>+E30/E$10</f>
        <v>0.44772361703615637</v>
      </c>
      <c r="F31" s="23">
        <f t="shared" ref="F31" si="29">+F30/F$10</f>
        <v>0.8157554440593805</v>
      </c>
      <c r="G31" s="23">
        <f t="shared" ref="G31" si="30">+G30/G$10</f>
        <v>0.59696678685970028</v>
      </c>
      <c r="H31" s="23">
        <f t="shared" ref="H31:O31" si="31">+H30/H$10</f>
        <v>0.50320319811943603</v>
      </c>
      <c r="I31" s="23">
        <f t="shared" si="31"/>
        <v>0.54197235251455089</v>
      </c>
      <c r="J31" s="23">
        <f t="shared" si="31"/>
        <v>0.62197242817423526</v>
      </c>
      <c r="K31" s="23">
        <f t="shared" si="31"/>
        <v>0.60977072477498828</v>
      </c>
      <c r="L31" s="23">
        <f t="shared" si="31"/>
        <v>0.60706061636206621</v>
      </c>
      <c r="M31" s="23">
        <f t="shared" si="31"/>
        <v>0.57448270853552053</v>
      </c>
      <c r="N31" s="23">
        <f t="shared" si="31"/>
        <v>0.54329871046342937</v>
      </c>
      <c r="O31" s="23">
        <f t="shared" si="31"/>
        <v>0.51389597341784832</v>
      </c>
    </row>
    <row r="32" spans="2:15">
      <c r="B32" s="5" t="s">
        <v>10</v>
      </c>
      <c r="E32" s="23"/>
      <c r="F32" s="23">
        <f>+F30/E30-1</f>
        <v>1.4634489222118088</v>
      </c>
      <c r="G32" s="23">
        <f t="shared" ref="G32:O32" si="32">+G30/F30-1</f>
        <v>1.0890241582651701</v>
      </c>
      <c r="H32" s="23">
        <f t="shared" si="32"/>
        <v>1.1051720997996721</v>
      </c>
      <c r="I32" s="23">
        <f t="shared" si="32"/>
        <v>1.1440950444800091</v>
      </c>
      <c r="J32" s="23">
        <f t="shared" si="32"/>
        <v>0.80517053554617091</v>
      </c>
      <c r="K32" s="23">
        <f t="shared" si="32"/>
        <v>0.43854512293657577</v>
      </c>
      <c r="L32" s="23">
        <f t="shared" si="32"/>
        <v>0.2804637258725351</v>
      </c>
      <c r="M32" s="23">
        <f t="shared" si="32"/>
        <v>0.27453365886722514</v>
      </c>
      <c r="N32" s="23">
        <f t="shared" si="32"/>
        <v>0.2694927008903496</v>
      </c>
      <c r="O32" s="23">
        <f t="shared" si="32"/>
        <v>0.26515966723902729</v>
      </c>
    </row>
    <row r="33" spans="2:15">
      <c r="B33" s="26" t="s">
        <v>19</v>
      </c>
      <c r="C33" s="26"/>
      <c r="D33" s="26"/>
      <c r="E33" s="27">
        <f t="shared" ref="E33:O33" si="33">+SUM(E18,E21,E24,E27,E30)</f>
        <v>28.975000000000001</v>
      </c>
      <c r="F33" s="27">
        <f t="shared" si="33"/>
        <v>46.74</v>
      </c>
      <c r="G33" s="27">
        <f t="shared" si="33"/>
        <v>70.647999999999996</v>
      </c>
      <c r="H33" s="27">
        <f t="shared" si="33"/>
        <v>138.08500000000001</v>
      </c>
      <c r="I33" s="27">
        <f t="shared" si="33"/>
        <v>285.33000000000004</v>
      </c>
      <c r="J33" s="27">
        <f t="shared" si="33"/>
        <v>474.48297352204764</v>
      </c>
      <c r="K33" s="27">
        <f t="shared" si="33"/>
        <v>683.1073748876571</v>
      </c>
      <c r="L33" s="27">
        <f t="shared" si="33"/>
        <v>883.12656215440461</v>
      </c>
      <c r="M33" s="27">
        <f t="shared" si="33"/>
        <v>1126.0410402891007</v>
      </c>
      <c r="N33" s="27">
        <f t="shared" si="33"/>
        <v>1411.385752264358</v>
      </c>
      <c r="O33" s="27">
        <f t="shared" si="33"/>
        <v>1744.7515083457347</v>
      </c>
    </row>
    <row r="36" spans="2:15">
      <c r="B36" s="2" t="s">
        <v>63</v>
      </c>
      <c r="C36" s="2"/>
      <c r="D36" s="2"/>
      <c r="E36" s="46">
        <f t="shared" ref="E36:O36" si="34">+E10-E33</f>
        <v>-14.676000000000002</v>
      </c>
      <c r="F36" s="46">
        <f t="shared" si="34"/>
        <v>-27.407000000000004</v>
      </c>
      <c r="G36" s="46">
        <f t="shared" si="34"/>
        <v>-15.458999999999996</v>
      </c>
      <c r="H36" s="46">
        <f t="shared" si="34"/>
        <v>-0.25399999999999068</v>
      </c>
      <c r="I36" s="46">
        <f t="shared" si="34"/>
        <v>-10.94700000000006</v>
      </c>
      <c r="J36" s="46">
        <f t="shared" si="34"/>
        <v>-42.882973522047621</v>
      </c>
      <c r="K36" s="46">
        <f t="shared" si="34"/>
        <v>-49.807374887657147</v>
      </c>
      <c r="L36" s="46">
        <f t="shared" si="34"/>
        <v>-68.588694481098969</v>
      </c>
      <c r="M36" s="46">
        <f t="shared" si="34"/>
        <v>-29.013107792098253</v>
      </c>
      <c r="N36" s="46">
        <f t="shared" si="34"/>
        <v>61.218943442634782</v>
      </c>
      <c r="O36" s="46">
        <f t="shared" si="34"/>
        <v>224.9253331518612</v>
      </c>
    </row>
    <row r="39" spans="2:15">
      <c r="B39" s="2" t="s">
        <v>79</v>
      </c>
      <c r="E39" s="23"/>
      <c r="F39" s="23"/>
      <c r="G39" s="23"/>
      <c r="H39" s="23"/>
      <c r="I39" s="23"/>
      <c r="J39" s="37"/>
      <c r="K39" s="37"/>
      <c r="L39" s="37"/>
      <c r="M39" s="37"/>
      <c r="N39" s="37"/>
      <c r="O39" s="37"/>
    </row>
    <row r="40" spans="2:15">
      <c r="B40" s="1" t="s">
        <v>69</v>
      </c>
      <c r="E40" s="23"/>
      <c r="F40" s="23"/>
      <c r="G40" s="23"/>
      <c r="H40" s="23"/>
      <c r="I40" s="23"/>
      <c r="J40" s="37"/>
      <c r="K40" s="37"/>
      <c r="L40" s="37"/>
      <c r="M40" s="37"/>
      <c r="N40" s="37"/>
      <c r="O40" s="37"/>
    </row>
    <row r="41" spans="2:15">
      <c r="B41" s="42" t="s">
        <v>45</v>
      </c>
      <c r="E41" s="23"/>
      <c r="F41" s="23"/>
      <c r="G41" s="23"/>
      <c r="H41" s="9">
        <f t="shared" ref="H41:O41" si="35">+H12</f>
        <v>3553.3</v>
      </c>
      <c r="I41" s="9">
        <f t="shared" si="35"/>
        <v>7466.4000000000005</v>
      </c>
      <c r="J41" s="9">
        <f t="shared" si="35"/>
        <v>12863.3</v>
      </c>
      <c r="K41" s="9">
        <f t="shared" si="35"/>
        <v>17376.8</v>
      </c>
      <c r="L41" s="9">
        <f t="shared" si="35"/>
        <v>20852.159999999996</v>
      </c>
      <c r="M41" s="9">
        <f t="shared" si="35"/>
        <v>25022.591999999997</v>
      </c>
      <c r="N41" s="9">
        <f t="shared" si="35"/>
        <v>30027.110399999994</v>
      </c>
      <c r="O41" s="9">
        <f t="shared" si="35"/>
        <v>36032.532479999994</v>
      </c>
    </row>
    <row r="42" spans="2:15">
      <c r="B42" s="42" t="s">
        <v>65</v>
      </c>
      <c r="E42" s="23"/>
      <c r="F42" s="23"/>
      <c r="G42" s="23"/>
      <c r="H42" s="14">
        <v>15</v>
      </c>
      <c r="I42" s="14">
        <v>15</v>
      </c>
      <c r="J42" s="14">
        <v>15</v>
      </c>
      <c r="K42" s="14">
        <v>15</v>
      </c>
      <c r="L42" s="14">
        <v>15</v>
      </c>
      <c r="M42" s="14">
        <v>15</v>
      </c>
      <c r="N42" s="14">
        <v>15</v>
      </c>
      <c r="O42" s="14">
        <v>15</v>
      </c>
    </row>
    <row r="43" spans="2:15">
      <c r="B43" s="42" t="s">
        <v>64</v>
      </c>
      <c r="E43" s="23"/>
      <c r="F43" s="23"/>
      <c r="G43" s="23"/>
      <c r="H43" s="73">
        <f>+CHOOSE(Assumptions!$B$5,'Costs Build'!H56,'Costs Build'!H59,'Costs Build'!H62)</f>
        <v>1.0200000000000001E-3</v>
      </c>
      <c r="I43" s="73">
        <f>+CHOOSE(Assumptions!$B$5,'Costs Build'!I56,'Costs Build'!I59,'Costs Build'!I62)</f>
        <v>1.1000000000000001E-3</v>
      </c>
      <c r="J43" s="73">
        <f>+CHOOSE(Assumptions!$B$5,'Costs Build'!J56,'Costs Build'!J59,'Costs Build'!J62)</f>
        <v>1.1999999999999999E-3</v>
      </c>
      <c r="K43" s="73">
        <f>+CHOOSE(Assumptions!$B$5,'Costs Build'!K56,'Costs Build'!K59,'Costs Build'!K62)</f>
        <v>1.2999999999999999E-3</v>
      </c>
      <c r="L43" s="73">
        <f>+CHOOSE(Assumptions!$B$5,'Costs Build'!L56,'Costs Build'!L59,'Costs Build'!L62)</f>
        <v>1.4E-3</v>
      </c>
      <c r="M43" s="73">
        <f>+CHOOSE(Assumptions!$B$5,'Costs Build'!M56,'Costs Build'!M59,'Costs Build'!M62)</f>
        <v>1.5E-3</v>
      </c>
      <c r="N43" s="73">
        <f>+CHOOSE(Assumptions!$B$5,'Costs Build'!N56,'Costs Build'!N59,'Costs Build'!N62)</f>
        <v>1.6000000000000001E-3</v>
      </c>
      <c r="O43" s="73">
        <f>+CHOOSE(Assumptions!$B$5,'Costs Build'!O56,'Costs Build'!O59,'Costs Build'!O62)</f>
        <v>1.6999999999999999E-3</v>
      </c>
    </row>
    <row r="44" spans="2:15">
      <c r="B44" s="42" t="s">
        <v>73</v>
      </c>
      <c r="H44" s="9">
        <f>+H41*H42*H43</f>
        <v>54.365490000000001</v>
      </c>
      <c r="I44" s="9">
        <f t="shared" ref="I44:L44" si="36">+I41*I42*I43</f>
        <v>123.19560000000003</v>
      </c>
      <c r="J44" s="9">
        <f t="shared" si="36"/>
        <v>231.53939999999997</v>
      </c>
      <c r="K44" s="9">
        <f t="shared" si="36"/>
        <v>338.8476</v>
      </c>
      <c r="L44" s="9">
        <f t="shared" si="36"/>
        <v>437.89535999999993</v>
      </c>
      <c r="M44" s="9">
        <f t="shared" ref="M44" si="37">+M41*M42*M43</f>
        <v>563.00831999999991</v>
      </c>
      <c r="N44" s="9">
        <f t="shared" ref="N44" si="38">+N41*N42*N43</f>
        <v>720.65064959999984</v>
      </c>
      <c r="O44" s="9">
        <f t="shared" ref="O44" si="39">+O41*O42*O43</f>
        <v>918.82957823999971</v>
      </c>
    </row>
    <row r="45" spans="2:15">
      <c r="B45" s="42" t="s">
        <v>68</v>
      </c>
      <c r="E45" s="9">
        <f t="shared" ref="E45:O45" si="40">0.25*E8</f>
        <v>3.3285</v>
      </c>
      <c r="F45" s="9">
        <f t="shared" si="40"/>
        <v>4.56175</v>
      </c>
      <c r="G45" s="9">
        <f t="shared" si="40"/>
        <v>12.53675</v>
      </c>
      <c r="H45" s="9">
        <f t="shared" si="40"/>
        <v>29.85</v>
      </c>
      <c r="I45" s="9">
        <f t="shared" si="40"/>
        <v>60</v>
      </c>
      <c r="J45" s="9">
        <f t="shared" si="40"/>
        <v>96.325000000000003</v>
      </c>
      <c r="K45" s="9">
        <f t="shared" si="40"/>
        <v>144.5</v>
      </c>
      <c r="L45" s="9">
        <f t="shared" si="40"/>
        <v>188.4269669183264</v>
      </c>
      <c r="M45" s="9">
        <f t="shared" si="40"/>
        <v>257.52873312425061</v>
      </c>
      <c r="N45" s="9">
        <f t="shared" si="40"/>
        <v>349.75009892674819</v>
      </c>
      <c r="O45" s="9">
        <f t="shared" si="40"/>
        <v>472.17802787439894</v>
      </c>
    </row>
    <row r="46" spans="2:15">
      <c r="B46" s="1" t="s">
        <v>70</v>
      </c>
      <c r="E46" s="23"/>
      <c r="F46" s="23"/>
      <c r="G46" s="23"/>
      <c r="H46" s="23"/>
      <c r="I46" s="23"/>
      <c r="J46" s="37"/>
      <c r="K46" s="37"/>
      <c r="L46" s="37"/>
      <c r="M46" s="37"/>
      <c r="N46" s="37"/>
      <c r="O46" s="37"/>
    </row>
    <row r="47" spans="2:15">
      <c r="B47" s="42" t="s">
        <v>45</v>
      </c>
      <c r="E47" s="23"/>
      <c r="F47" s="23"/>
      <c r="G47" s="23"/>
      <c r="H47" s="9">
        <f t="shared" ref="H47:O47" si="41">+H13</f>
        <v>390</v>
      </c>
      <c r="I47" s="9">
        <f t="shared" si="41"/>
        <v>793.09999999999945</v>
      </c>
      <c r="J47" s="9">
        <f t="shared" si="41"/>
        <v>1118.2999999999993</v>
      </c>
      <c r="K47" s="9">
        <f t="shared" si="41"/>
        <v>1371.6000000000022</v>
      </c>
      <c r="L47" s="9">
        <f t="shared" si="41"/>
        <v>1508.7600000000025</v>
      </c>
      <c r="M47" s="9">
        <f t="shared" si="41"/>
        <v>1659.6360000000032</v>
      </c>
      <c r="N47" s="9">
        <f t="shared" si="41"/>
        <v>1825.5996000000032</v>
      </c>
      <c r="O47" s="9">
        <f t="shared" si="41"/>
        <v>2008.1595600000037</v>
      </c>
    </row>
    <row r="48" spans="2:15">
      <c r="B48" s="42" t="s">
        <v>65</v>
      </c>
      <c r="E48" s="23"/>
      <c r="F48" s="23"/>
      <c r="G48" s="23"/>
      <c r="H48" s="14">
        <v>15</v>
      </c>
      <c r="I48" s="14">
        <v>15</v>
      </c>
      <c r="J48" s="14">
        <v>15</v>
      </c>
      <c r="K48" s="14">
        <v>15</v>
      </c>
      <c r="L48" s="14">
        <v>15</v>
      </c>
      <c r="M48" s="14">
        <v>15</v>
      </c>
      <c r="N48" s="14">
        <v>15</v>
      </c>
      <c r="O48" s="14">
        <v>15</v>
      </c>
    </row>
    <row r="49" spans="2:15">
      <c r="B49" s="42" t="s">
        <v>64</v>
      </c>
      <c r="H49" s="73">
        <f>+CHOOSE(Assumptions!$B$5,'Costs Build'!H57,'Costs Build'!H60,'Costs Build'!H63)</f>
        <v>1.6999999999999999E-3</v>
      </c>
      <c r="I49" s="73">
        <f>+CHOOSE(Assumptions!$B$5,'Costs Build'!I57,'Costs Build'!I60,'Costs Build'!I63)</f>
        <v>2E-3</v>
      </c>
      <c r="J49" s="73">
        <f>+CHOOSE(Assumptions!$B$5,'Costs Build'!J57,'Costs Build'!J60,'Costs Build'!J63)</f>
        <v>2.2000000000000001E-3</v>
      </c>
      <c r="K49" s="73">
        <f>+CHOOSE(Assumptions!$B$5,'Costs Build'!K57,'Costs Build'!K60,'Costs Build'!K63)</f>
        <v>2.3E-3</v>
      </c>
      <c r="L49" s="73">
        <f>+CHOOSE(Assumptions!$B$5,'Costs Build'!L57,'Costs Build'!L60,'Costs Build'!L63)</f>
        <v>2.5000000000000001E-3</v>
      </c>
      <c r="M49" s="73">
        <f>+CHOOSE(Assumptions!$B$5,'Costs Build'!M57,'Costs Build'!M60,'Costs Build'!M63)</f>
        <v>2.7000000000000001E-3</v>
      </c>
      <c r="N49" s="73">
        <f>+CHOOSE(Assumptions!$B$5,'Costs Build'!N57,'Costs Build'!N60,'Costs Build'!N63)</f>
        <v>2.8999999999999998E-3</v>
      </c>
      <c r="O49" s="73">
        <f>+CHOOSE(Assumptions!$B$5,'Costs Build'!O57,'Costs Build'!O60,'Costs Build'!O63)</f>
        <v>3.0999999999999999E-3</v>
      </c>
    </row>
    <row r="50" spans="2:15">
      <c r="B50" s="42" t="s">
        <v>73</v>
      </c>
      <c r="H50" s="9">
        <f>+H47*H48*H49</f>
        <v>9.9450000000000003</v>
      </c>
      <c r="I50" s="9">
        <f t="shared" ref="I50" si="42">+I47*I48*I49</f>
        <v>23.792999999999985</v>
      </c>
      <c r="J50" s="9">
        <f t="shared" ref="J50" si="43">+J47*J48*J49</f>
        <v>36.903899999999979</v>
      </c>
      <c r="K50" s="9">
        <f t="shared" ref="K50" si="44">+K47*K48*K49</f>
        <v>47.320200000000078</v>
      </c>
      <c r="L50" s="9">
        <f t="shared" ref="L50" si="45">+L47*L48*L49</f>
        <v>56.578500000000098</v>
      </c>
      <c r="M50" s="9">
        <f t="shared" ref="M50" si="46">+M47*M48*M49</f>
        <v>67.215258000000134</v>
      </c>
      <c r="N50" s="9">
        <f t="shared" ref="N50" si="47">+N47*N48*N49</f>
        <v>79.41358260000014</v>
      </c>
      <c r="O50" s="9">
        <f t="shared" ref="O50" si="48">+O47*O48*O49</f>
        <v>93.379419540000171</v>
      </c>
    </row>
    <row r="51" spans="2:15">
      <c r="B51" s="26" t="s">
        <v>75</v>
      </c>
      <c r="C51" s="26"/>
      <c r="D51" s="26"/>
      <c r="E51" s="26"/>
      <c r="F51" s="26"/>
      <c r="G51" s="26"/>
      <c r="H51" s="30">
        <f>+SUM(H50,MAX(H44,H45))</f>
        <v>64.310490000000001</v>
      </c>
      <c r="I51" s="30">
        <f>+SUM(I50,MAX(I44,I45))</f>
        <v>146.98860000000002</v>
      </c>
      <c r="J51" s="30">
        <f>+SUM(J50,MAX(J44,J45))</f>
        <v>268.44329999999997</v>
      </c>
      <c r="K51" s="30">
        <f t="shared" ref="K51:O51" si="49">+SUM(K50,MAX(K44,K45))</f>
        <v>386.16780000000006</v>
      </c>
      <c r="L51" s="30">
        <f t="shared" si="49"/>
        <v>494.47386</v>
      </c>
      <c r="M51" s="30">
        <f t="shared" si="49"/>
        <v>630.22357800000009</v>
      </c>
      <c r="N51" s="30">
        <f t="shared" si="49"/>
        <v>800.06423219999999</v>
      </c>
      <c r="O51" s="30">
        <f t="shared" si="49"/>
        <v>1012.2089977799999</v>
      </c>
    </row>
    <row r="54" spans="2:15">
      <c r="B54" s="2" t="s">
        <v>127</v>
      </c>
    </row>
    <row r="55" spans="2:15">
      <c r="B55" s="1" t="s">
        <v>128</v>
      </c>
    </row>
    <row r="56" spans="2:15">
      <c r="B56" s="42" t="s">
        <v>129</v>
      </c>
      <c r="H56" s="38">
        <v>1.0200000000000001E-3</v>
      </c>
      <c r="I56" s="38">
        <v>1.1000000000000001E-3</v>
      </c>
      <c r="J56" s="38">
        <v>1.1999999999999999E-3</v>
      </c>
      <c r="K56" s="38">
        <v>1.2999999999999999E-3</v>
      </c>
      <c r="L56" s="38">
        <v>1.4E-3</v>
      </c>
      <c r="M56" s="38">
        <v>0</v>
      </c>
      <c r="N56" s="38">
        <v>0</v>
      </c>
      <c r="O56" s="38">
        <v>0</v>
      </c>
    </row>
    <row r="57" spans="2:15">
      <c r="B57" s="42" t="s">
        <v>130</v>
      </c>
      <c r="H57" s="38">
        <v>1.6999999999999999E-3</v>
      </c>
      <c r="I57" s="38">
        <v>2E-3</v>
      </c>
      <c r="J57" s="38">
        <v>2.2000000000000001E-3</v>
      </c>
      <c r="K57" s="38">
        <v>2.3E-3</v>
      </c>
      <c r="L57" s="38">
        <v>2.5000000000000001E-3</v>
      </c>
      <c r="M57" s="38">
        <v>2.7000000000000001E-3</v>
      </c>
      <c r="N57" s="38">
        <v>2.8999999999999998E-3</v>
      </c>
      <c r="O57" s="38">
        <v>3.0999999999999999E-3</v>
      </c>
    </row>
    <row r="58" spans="2:15">
      <c r="B58" s="1" t="s">
        <v>131</v>
      </c>
    </row>
    <row r="59" spans="2:15">
      <c r="B59" s="42" t="s">
        <v>129</v>
      </c>
      <c r="H59" s="38">
        <v>1.0200000000000001E-3</v>
      </c>
      <c r="I59" s="38">
        <v>1.1000000000000001E-3</v>
      </c>
      <c r="J59" s="38">
        <v>1.1999999999999999E-3</v>
      </c>
      <c r="K59" s="38">
        <v>1.2999999999999999E-3</v>
      </c>
      <c r="L59" s="38">
        <v>1.4E-3</v>
      </c>
      <c r="M59" s="38">
        <v>1.5E-3</v>
      </c>
      <c r="N59" s="38">
        <v>1.6000000000000001E-3</v>
      </c>
      <c r="O59" s="38">
        <v>1.6999999999999999E-3</v>
      </c>
    </row>
    <row r="60" spans="2:15">
      <c r="B60" s="42" t="s">
        <v>130</v>
      </c>
      <c r="H60" s="38">
        <v>1.6999999999999999E-3</v>
      </c>
      <c r="I60" s="38">
        <v>2E-3</v>
      </c>
      <c r="J60" s="38">
        <v>2.2000000000000001E-3</v>
      </c>
      <c r="K60" s="38">
        <v>2.3E-3</v>
      </c>
      <c r="L60" s="38">
        <v>2.5000000000000001E-3</v>
      </c>
      <c r="M60" s="38">
        <v>2.7000000000000001E-3</v>
      </c>
      <c r="N60" s="38">
        <v>2.8999999999999998E-3</v>
      </c>
      <c r="O60" s="38">
        <v>3.0999999999999999E-3</v>
      </c>
    </row>
    <row r="61" spans="2:15">
      <c r="B61" s="1" t="s">
        <v>132</v>
      </c>
    </row>
    <row r="62" spans="2:15">
      <c r="B62" s="42" t="s">
        <v>129</v>
      </c>
      <c r="H62" s="38">
        <v>1.0200000000000001E-3</v>
      </c>
      <c r="I62" s="38">
        <v>1.1000000000000001E-3</v>
      </c>
      <c r="J62" s="38">
        <v>1.1999999999999999E-3</v>
      </c>
      <c r="K62" s="38">
        <v>1.2999999999999999E-3</v>
      </c>
      <c r="L62" s="38">
        <v>1.4E-3</v>
      </c>
      <c r="M62" s="38">
        <v>1.5E-3</v>
      </c>
      <c r="N62" s="38">
        <v>1.6000000000000001E-3</v>
      </c>
      <c r="O62" s="38">
        <v>1.6999999999999999E-3</v>
      </c>
    </row>
    <row r="63" spans="2:15">
      <c r="B63" s="42" t="s">
        <v>130</v>
      </c>
      <c r="H63" s="38">
        <v>1.6999999999999999E-3</v>
      </c>
      <c r="I63" s="38">
        <v>2E-3</v>
      </c>
      <c r="J63" s="38">
        <v>2.2000000000000001E-3</v>
      </c>
      <c r="K63" s="38">
        <v>2.3E-3</v>
      </c>
      <c r="L63" s="38">
        <v>2.5000000000000001E-3</v>
      </c>
      <c r="M63" s="38">
        <v>2.7000000000000001E-3</v>
      </c>
      <c r="N63" s="38">
        <v>2.8999999999999998E-3</v>
      </c>
      <c r="O63" s="38">
        <v>3.0999999999999999E-3</v>
      </c>
    </row>
  </sheetData>
  <conditionalFormatting sqref="B6:O51">
    <cfRule type="expression" dxfId="0" priority="1">
      <formula>$O$4=1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F84"/>
  <sheetViews>
    <sheetView showGridLines="0" zoomScale="115" zoomScaleNormal="115" workbookViewId="0">
      <selection activeCell="I42" sqref="I42"/>
    </sheetView>
  </sheetViews>
  <sheetFormatPr defaultRowHeight="12.75"/>
  <cols>
    <col min="1" max="1" width="9.140625" style="1" customWidth="1"/>
    <col min="2" max="18" width="9.140625" style="1"/>
    <col min="19" max="19" width="7.42578125" style="1" customWidth="1"/>
    <col min="20" max="24" width="10.7109375" style="1" bestFit="1" customWidth="1"/>
    <col min="25" max="26" width="9.140625" style="1"/>
    <col min="27" max="29" width="10.28515625" style="1" bestFit="1" customWidth="1"/>
    <col min="30" max="30" width="11.28515625" style="1" bestFit="1" customWidth="1"/>
    <col min="31" max="32" width="10.28515625" style="1" bestFit="1" customWidth="1"/>
    <col min="33" max="16384" width="9.140625" style="1"/>
  </cols>
  <sheetData>
    <row r="2" spans="2:15" ht="20.25">
      <c r="B2" s="4" t="s">
        <v>12</v>
      </c>
    </row>
    <row r="3" spans="2:15" s="75" customFormat="1" ht="15.75">
      <c r="B3" s="76" t="str">
        <f>+Assumptions!C5</f>
        <v>Base Case</v>
      </c>
    </row>
    <row r="4" spans="2:15">
      <c r="B4" s="1" t="s">
        <v>36</v>
      </c>
    </row>
    <row r="6" spans="2:15">
      <c r="E6" s="7">
        <v>2008</v>
      </c>
      <c r="F6" s="7">
        <f>+E6+1</f>
        <v>2009</v>
      </c>
      <c r="G6" s="7">
        <f t="shared" ref="G6:O6" si="0">+F6+1</f>
        <v>2010</v>
      </c>
      <c r="H6" s="7">
        <f t="shared" si="0"/>
        <v>2011</v>
      </c>
      <c r="I6" s="7">
        <f t="shared" si="0"/>
        <v>2012</v>
      </c>
      <c r="J6" s="8">
        <f t="shared" si="0"/>
        <v>2013</v>
      </c>
      <c r="K6" s="8">
        <f t="shared" si="0"/>
        <v>2014</v>
      </c>
      <c r="L6" s="8">
        <f t="shared" si="0"/>
        <v>2015</v>
      </c>
      <c r="M6" s="8">
        <f t="shared" si="0"/>
        <v>2016</v>
      </c>
      <c r="N6" s="8">
        <f t="shared" si="0"/>
        <v>2017</v>
      </c>
      <c r="O6" s="8">
        <f t="shared" si="0"/>
        <v>2018</v>
      </c>
    </row>
    <row r="7" spans="2:15">
      <c r="B7" s="1" t="s">
        <v>11</v>
      </c>
      <c r="E7" s="22">
        <f>+'Revenue Build'!E62</f>
        <v>14.298999999999999</v>
      </c>
      <c r="F7" s="22">
        <f>+'Revenue Build'!F62</f>
        <v>19.332999999999998</v>
      </c>
      <c r="G7" s="22">
        <f>+'Revenue Build'!G62</f>
        <v>55.189</v>
      </c>
      <c r="H7" s="22">
        <f>+'Revenue Build'!H62</f>
        <v>137.83100000000002</v>
      </c>
      <c r="I7" s="22">
        <f>+'Revenue Build'!I62</f>
        <v>274.38299999999998</v>
      </c>
      <c r="J7" s="22">
        <f>+'Revenue Build'!J62</f>
        <v>431.6</v>
      </c>
      <c r="K7" s="22">
        <f>+'Revenue Build'!K62</f>
        <v>633.29999999999995</v>
      </c>
      <c r="L7" s="22">
        <f>+'Revenue Build'!L62</f>
        <v>814.53786767330564</v>
      </c>
      <c r="M7" s="22">
        <f>+'Revenue Build'!M62</f>
        <v>1097.0279324970024</v>
      </c>
      <c r="N7" s="22">
        <f>+'Revenue Build'!N62</f>
        <v>1472.6046957069927</v>
      </c>
      <c r="O7" s="22">
        <f>+'Revenue Build'!O62</f>
        <v>1969.6768414975959</v>
      </c>
    </row>
    <row r="8" spans="2:15">
      <c r="B8" s="1" t="s">
        <v>19</v>
      </c>
      <c r="E8" s="22">
        <f>+'Costs Build'!E33</f>
        <v>28.975000000000001</v>
      </c>
      <c r="F8" s="22">
        <f>+'Costs Build'!F33</f>
        <v>46.74</v>
      </c>
      <c r="G8" s="22">
        <f>+'Costs Build'!G33</f>
        <v>70.647999999999996</v>
      </c>
      <c r="H8" s="22">
        <f>+'Costs Build'!H33</f>
        <v>138.08500000000001</v>
      </c>
      <c r="I8" s="22">
        <f>+'Costs Build'!I33</f>
        <v>285.33000000000004</v>
      </c>
      <c r="J8" s="22">
        <f>+'Costs Build'!J33</f>
        <v>474.48297352204764</v>
      </c>
      <c r="K8" s="22">
        <f>+'Costs Build'!K33</f>
        <v>683.1073748876571</v>
      </c>
      <c r="L8" s="22">
        <f>+'Costs Build'!L33</f>
        <v>883.12656215440461</v>
      </c>
      <c r="M8" s="22">
        <f>+'Costs Build'!M33</f>
        <v>1126.0410402891007</v>
      </c>
      <c r="N8" s="22">
        <f>+'Costs Build'!N33</f>
        <v>1411.385752264358</v>
      </c>
      <c r="O8" s="22">
        <f>+'Costs Build'!O33</f>
        <v>1744.7515083457347</v>
      </c>
    </row>
    <row r="9" spans="2:15">
      <c r="B9" s="26" t="s">
        <v>76</v>
      </c>
      <c r="C9" s="26"/>
      <c r="D9" s="26"/>
      <c r="E9" s="39">
        <f>E7-E8</f>
        <v>-14.676000000000002</v>
      </c>
      <c r="F9" s="39">
        <f t="shared" ref="F9:O9" si="1">F7-F8</f>
        <v>-27.407000000000004</v>
      </c>
      <c r="G9" s="39">
        <f t="shared" si="1"/>
        <v>-15.458999999999996</v>
      </c>
      <c r="H9" s="39">
        <f t="shared" si="1"/>
        <v>-0.25399999999999068</v>
      </c>
      <c r="I9" s="39">
        <f t="shared" si="1"/>
        <v>-10.94700000000006</v>
      </c>
      <c r="J9" s="39">
        <f t="shared" si="1"/>
        <v>-42.882973522047621</v>
      </c>
      <c r="K9" s="39">
        <f t="shared" si="1"/>
        <v>-49.807374887657147</v>
      </c>
      <c r="L9" s="39">
        <f t="shared" si="1"/>
        <v>-68.588694481098969</v>
      </c>
      <c r="M9" s="39">
        <f t="shared" si="1"/>
        <v>-29.013107792098253</v>
      </c>
      <c r="N9" s="39">
        <f t="shared" si="1"/>
        <v>61.218943442634782</v>
      </c>
      <c r="O9" s="39">
        <f t="shared" si="1"/>
        <v>224.9253331518612</v>
      </c>
    </row>
    <row r="10" spans="2:15">
      <c r="B10" s="40"/>
      <c r="C10" s="40"/>
      <c r="D10" s="40"/>
      <c r="E10" s="54"/>
      <c r="F10" s="54"/>
      <c r="G10" s="54"/>
      <c r="H10" s="54"/>
      <c r="I10" s="54"/>
      <c r="J10" s="54"/>
      <c r="K10" s="54"/>
      <c r="L10" s="54"/>
      <c r="M10" s="54"/>
      <c r="N10" s="54"/>
      <c r="O10" s="54"/>
    </row>
    <row r="11" spans="2:15">
      <c r="B11" s="40" t="s">
        <v>102</v>
      </c>
      <c r="C11" s="40"/>
      <c r="D11" s="40"/>
      <c r="E11" s="64">
        <f>+-E9*E12</f>
        <v>5.870400000000001</v>
      </c>
      <c r="F11" s="64">
        <f t="shared" ref="F11:O11" si="2">+-F9*F12</f>
        <v>10.962800000000001</v>
      </c>
      <c r="G11" s="64">
        <f t="shared" si="2"/>
        <v>6.1835999999999984</v>
      </c>
      <c r="H11" s="64">
        <f t="shared" si="2"/>
        <v>0.10159999999999628</v>
      </c>
      <c r="I11" s="64">
        <f t="shared" si="2"/>
        <v>4.378800000000024</v>
      </c>
      <c r="J11" s="64">
        <f t="shared" si="2"/>
        <v>17.153189408819049</v>
      </c>
      <c r="K11" s="64">
        <f t="shared" si="2"/>
        <v>19.922949955062862</v>
      </c>
      <c r="L11" s="64">
        <f t="shared" si="2"/>
        <v>27.435477792439588</v>
      </c>
      <c r="M11" s="64">
        <f t="shared" si="2"/>
        <v>11.605243116839302</v>
      </c>
      <c r="N11" s="64">
        <f t="shared" si="2"/>
        <v>-24.487577377053913</v>
      </c>
      <c r="O11" s="64">
        <f t="shared" si="2"/>
        <v>-89.97013326074449</v>
      </c>
    </row>
    <row r="12" spans="2:15" s="55" customFormat="1">
      <c r="B12" s="5" t="s">
        <v>15</v>
      </c>
      <c r="E12" s="37">
        <v>0.4</v>
      </c>
      <c r="F12" s="12">
        <f>+E12</f>
        <v>0.4</v>
      </c>
      <c r="G12" s="12">
        <f t="shared" ref="G12:O12" si="3">+F12</f>
        <v>0.4</v>
      </c>
      <c r="H12" s="12">
        <f>+G12</f>
        <v>0.4</v>
      </c>
      <c r="I12" s="12">
        <f t="shared" si="3"/>
        <v>0.4</v>
      </c>
      <c r="J12" s="12">
        <f t="shared" si="3"/>
        <v>0.4</v>
      </c>
      <c r="K12" s="12">
        <f t="shared" si="3"/>
        <v>0.4</v>
      </c>
      <c r="L12" s="12">
        <f t="shared" si="3"/>
        <v>0.4</v>
      </c>
      <c r="M12" s="12">
        <f t="shared" si="3"/>
        <v>0.4</v>
      </c>
      <c r="N12" s="12">
        <f t="shared" si="3"/>
        <v>0.4</v>
      </c>
      <c r="O12" s="12">
        <f t="shared" si="3"/>
        <v>0.4</v>
      </c>
    </row>
    <row r="13" spans="2:15" s="55" customFormat="1">
      <c r="B13" s="5"/>
      <c r="E13" s="37"/>
      <c r="F13" s="12"/>
      <c r="G13" s="12"/>
      <c r="H13" s="12"/>
      <c r="I13" s="12"/>
      <c r="J13" s="12"/>
      <c r="K13" s="12"/>
      <c r="L13" s="12"/>
      <c r="M13" s="12"/>
      <c r="N13" s="12"/>
      <c r="O13" s="12"/>
    </row>
    <row r="14" spans="2:15" s="55" customFormat="1">
      <c r="B14" s="40" t="s">
        <v>105</v>
      </c>
      <c r="E14" s="77">
        <v>0</v>
      </c>
      <c r="F14" s="64">
        <f>+E17</f>
        <v>5.870400000000001</v>
      </c>
      <c r="G14" s="64">
        <f t="shared" ref="G14:O14" si="4">+F17</f>
        <v>16.833200000000001</v>
      </c>
      <c r="H14" s="64">
        <f t="shared" si="4"/>
        <v>23.0168</v>
      </c>
      <c r="I14" s="64">
        <f t="shared" si="4"/>
        <v>23.118399999999998</v>
      </c>
      <c r="J14" s="64">
        <f t="shared" si="4"/>
        <v>27.497200000000021</v>
      </c>
      <c r="K14" s="64">
        <f t="shared" si="4"/>
        <v>44.650389408819066</v>
      </c>
      <c r="L14" s="64">
        <f t="shared" si="4"/>
        <v>64.573339363881928</v>
      </c>
      <c r="M14" s="64">
        <f t="shared" si="4"/>
        <v>92.008817156321513</v>
      </c>
      <c r="N14" s="64">
        <f t="shared" si="4"/>
        <v>103.61406027316082</v>
      </c>
      <c r="O14" s="64">
        <f t="shared" si="4"/>
        <v>79.126482896106907</v>
      </c>
    </row>
    <row r="15" spans="2:15" s="55" customFormat="1">
      <c r="B15" s="40" t="s">
        <v>103</v>
      </c>
      <c r="E15" s="64">
        <f>+IF(E9&lt;0,E11,0)</f>
        <v>5.870400000000001</v>
      </c>
      <c r="F15" s="64">
        <f t="shared" ref="F15:O15" si="5">+IF(F9&lt;0,F11,0)</f>
        <v>10.962800000000001</v>
      </c>
      <c r="G15" s="64">
        <f t="shared" si="5"/>
        <v>6.1835999999999984</v>
      </c>
      <c r="H15" s="64">
        <f t="shared" si="5"/>
        <v>0.10159999999999628</v>
      </c>
      <c r="I15" s="64">
        <f t="shared" si="5"/>
        <v>4.378800000000024</v>
      </c>
      <c r="J15" s="64">
        <f t="shared" si="5"/>
        <v>17.153189408819049</v>
      </c>
      <c r="K15" s="64">
        <f t="shared" si="5"/>
        <v>19.922949955062862</v>
      </c>
      <c r="L15" s="64">
        <f t="shared" si="5"/>
        <v>27.435477792439588</v>
      </c>
      <c r="M15" s="64">
        <f t="shared" si="5"/>
        <v>11.605243116839302</v>
      </c>
      <c r="N15" s="64">
        <f t="shared" si="5"/>
        <v>0</v>
      </c>
      <c r="O15" s="64">
        <f t="shared" si="5"/>
        <v>0</v>
      </c>
    </row>
    <row r="16" spans="2:15" s="55" customFormat="1">
      <c r="B16" s="40" t="s">
        <v>104</v>
      </c>
      <c r="E16" s="64">
        <f>+IF(E9&gt;0,MAX(-E14,E11),0)</f>
        <v>0</v>
      </c>
      <c r="F16" s="64">
        <f t="shared" ref="F16:O16" si="6">+IF(F9&gt;0,MAX(-F14,F11),0)</f>
        <v>0</v>
      </c>
      <c r="G16" s="64">
        <f t="shared" si="6"/>
        <v>0</v>
      </c>
      <c r="H16" s="64">
        <f t="shared" si="6"/>
        <v>0</v>
      </c>
      <c r="I16" s="64">
        <f t="shared" si="6"/>
        <v>0</v>
      </c>
      <c r="J16" s="64">
        <f t="shared" si="6"/>
        <v>0</v>
      </c>
      <c r="K16" s="64">
        <f t="shared" si="6"/>
        <v>0</v>
      </c>
      <c r="L16" s="64">
        <f t="shared" si="6"/>
        <v>0</v>
      </c>
      <c r="M16" s="64">
        <f t="shared" si="6"/>
        <v>0</v>
      </c>
      <c r="N16" s="64">
        <f t="shared" si="6"/>
        <v>-24.487577377053913</v>
      </c>
      <c r="O16" s="64">
        <f t="shared" si="6"/>
        <v>-79.126482896106907</v>
      </c>
    </row>
    <row r="17" spans="2:15" s="55" customFormat="1">
      <c r="B17" s="26" t="s">
        <v>106</v>
      </c>
      <c r="C17" s="31"/>
      <c r="D17" s="31"/>
      <c r="E17" s="27">
        <f>+SUM(E14:E16)</f>
        <v>5.870400000000001</v>
      </c>
      <c r="F17" s="27">
        <f t="shared" ref="F17:O17" si="7">+SUM(F14:F16)</f>
        <v>16.833200000000001</v>
      </c>
      <c r="G17" s="27">
        <f t="shared" si="7"/>
        <v>23.0168</v>
      </c>
      <c r="H17" s="27">
        <f t="shared" si="7"/>
        <v>23.118399999999998</v>
      </c>
      <c r="I17" s="27">
        <f t="shared" si="7"/>
        <v>27.497200000000021</v>
      </c>
      <c r="J17" s="27">
        <f t="shared" si="7"/>
        <v>44.650389408819066</v>
      </c>
      <c r="K17" s="27">
        <f t="shared" si="7"/>
        <v>64.573339363881928</v>
      </c>
      <c r="L17" s="27">
        <f t="shared" si="7"/>
        <v>92.008817156321513</v>
      </c>
      <c r="M17" s="27">
        <f t="shared" si="7"/>
        <v>103.61406027316082</v>
      </c>
      <c r="N17" s="27">
        <f t="shared" si="7"/>
        <v>79.126482896106907</v>
      </c>
      <c r="O17" s="27">
        <f t="shared" si="7"/>
        <v>0</v>
      </c>
    </row>
    <row r="18" spans="2:15" s="55" customFormat="1">
      <c r="B18" s="1"/>
      <c r="C18" s="66"/>
      <c r="D18" s="66"/>
      <c r="E18" s="64"/>
      <c r="F18" s="64"/>
      <c r="G18" s="64"/>
      <c r="H18" s="64"/>
      <c r="I18" s="64"/>
      <c r="J18" s="64"/>
      <c r="K18" s="64"/>
      <c r="L18" s="64"/>
      <c r="M18" s="64"/>
      <c r="N18" s="64"/>
      <c r="O18" s="64"/>
    </row>
    <row r="19" spans="2:15" s="55" customFormat="1">
      <c r="B19" s="1" t="s">
        <v>14</v>
      </c>
      <c r="E19" s="9">
        <f>+IF(E9&lt;0,0,E11-E16)</f>
        <v>0</v>
      </c>
      <c r="F19" s="9">
        <f t="shared" ref="F19:O19" si="8">+IF(F9&lt;0,0,F11-F16)</f>
        <v>0</v>
      </c>
      <c r="G19" s="9">
        <f t="shared" si="8"/>
        <v>0</v>
      </c>
      <c r="H19" s="9">
        <f t="shared" si="8"/>
        <v>0</v>
      </c>
      <c r="I19" s="9">
        <f t="shared" si="8"/>
        <v>0</v>
      </c>
      <c r="J19" s="9">
        <f t="shared" si="8"/>
        <v>0</v>
      </c>
      <c r="K19" s="9">
        <f t="shared" si="8"/>
        <v>0</v>
      </c>
      <c r="L19" s="9">
        <f t="shared" si="8"/>
        <v>0</v>
      </c>
      <c r="M19" s="9">
        <f t="shared" si="8"/>
        <v>0</v>
      </c>
      <c r="N19" s="9">
        <f t="shared" si="8"/>
        <v>0</v>
      </c>
      <c r="O19" s="9">
        <f t="shared" si="8"/>
        <v>-10.843650364637583</v>
      </c>
    </row>
    <row r="20" spans="2:15">
      <c r="B20" s="1" t="s">
        <v>20</v>
      </c>
      <c r="E20" s="9">
        <f t="shared" ref="E20:O20" si="9">+SUM(E9,E19)</f>
        <v>-14.676000000000002</v>
      </c>
      <c r="F20" s="9">
        <f t="shared" si="9"/>
        <v>-27.407000000000004</v>
      </c>
      <c r="G20" s="9">
        <f t="shared" si="9"/>
        <v>-15.458999999999996</v>
      </c>
      <c r="H20" s="9">
        <f t="shared" si="9"/>
        <v>-0.25399999999999068</v>
      </c>
      <c r="I20" s="9">
        <f t="shared" si="9"/>
        <v>-10.94700000000006</v>
      </c>
      <c r="J20" s="9">
        <f t="shared" si="9"/>
        <v>-42.882973522047621</v>
      </c>
      <c r="K20" s="9">
        <f t="shared" si="9"/>
        <v>-49.807374887657147</v>
      </c>
      <c r="L20" s="9">
        <f t="shared" si="9"/>
        <v>-68.588694481098969</v>
      </c>
      <c r="M20" s="9">
        <f t="shared" si="9"/>
        <v>-29.013107792098253</v>
      </c>
      <c r="N20" s="9">
        <f t="shared" si="9"/>
        <v>61.218943442634782</v>
      </c>
      <c r="O20" s="9">
        <f t="shared" si="9"/>
        <v>214.0816827872236</v>
      </c>
    </row>
    <row r="21" spans="2:15">
      <c r="B21" s="1" t="s">
        <v>111</v>
      </c>
      <c r="E21" s="9">
        <f t="shared" ref="E21:O21" si="10">+E20+E23</f>
        <v>-13.789000000000001</v>
      </c>
      <c r="F21" s="9">
        <f t="shared" si="10"/>
        <v>-26.256000000000004</v>
      </c>
      <c r="G21" s="9">
        <f t="shared" si="10"/>
        <v>-14.315999999999995</v>
      </c>
      <c r="H21" s="9">
        <f t="shared" si="10"/>
        <v>1.3240000000000094</v>
      </c>
      <c r="I21" s="9">
        <f t="shared" si="10"/>
        <v>-6.4920000000000595</v>
      </c>
      <c r="J21" s="9">
        <f t="shared" si="10"/>
        <v>-33.393314051606666</v>
      </c>
      <c r="K21" s="9">
        <f t="shared" si="10"/>
        <v>-36.145227389904008</v>
      </c>
      <c r="L21" s="9">
        <f t="shared" si="10"/>
        <v>-50.926163238010872</v>
      </c>
      <c r="M21" s="9">
        <f t="shared" si="10"/>
        <v>-6.4922869863162376</v>
      </c>
      <c r="N21" s="9">
        <f t="shared" si="10"/>
        <v>89.446658487921937</v>
      </c>
      <c r="O21" s="9">
        <f t="shared" si="10"/>
        <v>248.97671295413829</v>
      </c>
    </row>
    <row r="22" spans="2:15">
      <c r="E22" s="9"/>
      <c r="F22" s="9"/>
      <c r="G22" s="9"/>
      <c r="H22" s="9"/>
      <c r="I22" s="9"/>
      <c r="J22" s="9"/>
      <c r="K22" s="9"/>
      <c r="L22" s="9"/>
      <c r="M22" s="9"/>
      <c r="N22" s="9"/>
      <c r="O22" s="9"/>
    </row>
    <row r="23" spans="2:15">
      <c r="B23" s="1" t="s">
        <v>16</v>
      </c>
      <c r="E23" s="14">
        <v>0.88700000000000001</v>
      </c>
      <c r="F23" s="14">
        <v>1.151</v>
      </c>
      <c r="G23" s="14">
        <v>1.143</v>
      </c>
      <c r="H23" s="14">
        <v>1.5780000000000001</v>
      </c>
      <c r="I23" s="14">
        <v>4.4550000000000001</v>
      </c>
      <c r="J23" s="9">
        <f t="shared" ref="J23:O23" si="11">+J8*J24</f>
        <v>9.4896594704409534</v>
      </c>
      <c r="K23" s="9">
        <f t="shared" si="11"/>
        <v>13.662147497753143</v>
      </c>
      <c r="L23" s="9">
        <f t="shared" si="11"/>
        <v>17.662531243088093</v>
      </c>
      <c r="M23" s="9">
        <f t="shared" si="11"/>
        <v>22.520820805782016</v>
      </c>
      <c r="N23" s="9">
        <f t="shared" si="11"/>
        <v>28.227715045287159</v>
      </c>
      <c r="O23" s="9">
        <f t="shared" si="11"/>
        <v>34.895030166914694</v>
      </c>
    </row>
    <row r="24" spans="2:15">
      <c r="B24" s="5" t="s">
        <v>88</v>
      </c>
      <c r="E24" s="56">
        <f>+E23/E8</f>
        <v>3.0612597066436584E-2</v>
      </c>
      <c r="F24" s="56">
        <f>+F23/F8</f>
        <v>2.4625588361146769E-2</v>
      </c>
      <c r="G24" s="56">
        <f>+G23/G8</f>
        <v>1.6178801947684295E-2</v>
      </c>
      <c r="H24" s="56">
        <f>+H23/H8</f>
        <v>1.1427743781004454E-2</v>
      </c>
      <c r="I24" s="56">
        <f>+I23/I8</f>
        <v>1.561350015771212E-2</v>
      </c>
      <c r="J24" s="57">
        <v>0.02</v>
      </c>
      <c r="K24" s="57">
        <v>0.02</v>
      </c>
      <c r="L24" s="57">
        <v>0.02</v>
      </c>
      <c r="M24" s="57">
        <v>0.02</v>
      </c>
      <c r="N24" s="57">
        <v>0.02</v>
      </c>
      <c r="O24" s="57">
        <v>0.02</v>
      </c>
    </row>
    <row r="25" spans="2:15">
      <c r="B25" s="1" t="s">
        <v>17</v>
      </c>
      <c r="E25" s="41">
        <f>(NWC!E26)*-1</f>
        <v>0</v>
      </c>
      <c r="F25" s="41">
        <f>(NWC!F26)*-1</f>
        <v>0</v>
      </c>
      <c r="G25" s="41">
        <f>(NWC!G26)*-1</f>
        <v>-12.735000000000003</v>
      </c>
      <c r="H25" s="41">
        <f>(NWC!H26)*-1</f>
        <v>2.5839999999999996</v>
      </c>
      <c r="I25" s="41">
        <f>(NWC!I26)*-1</f>
        <v>1.7890000000000015</v>
      </c>
      <c r="J25" s="41">
        <f>(NWC!J26)*-1</f>
        <v>-8.8908401105225039</v>
      </c>
      <c r="K25" s="41">
        <f>(NWC!K26)*-1</f>
        <v>-2.5664951249383989</v>
      </c>
      <c r="L25" s="41">
        <f>(NWC!L26)*-1</f>
        <v>-1.9450186642490621</v>
      </c>
      <c r="M25" s="41">
        <f>(NWC!M26)*-1</f>
        <v>-2.3266375588145252</v>
      </c>
      <c r="N25" s="41">
        <f>(NWC!N26)*-1</f>
        <v>-2.7838417484647948</v>
      </c>
      <c r="O25" s="41">
        <f>(NWC!O26)*-1</f>
        <v>-3.3316744438336627</v>
      </c>
    </row>
    <row r="26" spans="2:15">
      <c r="B26" s="1" t="s">
        <v>18</v>
      </c>
      <c r="E26" s="1">
        <v>-1.3</v>
      </c>
      <c r="F26" s="1">
        <v>-0.6</v>
      </c>
      <c r="G26" s="1">
        <v>-1.9</v>
      </c>
      <c r="H26" s="1">
        <v>-8.1999999999999993</v>
      </c>
      <c r="I26" s="1">
        <v>-11.6</v>
      </c>
      <c r="J26" s="1">
        <f>+I26*(1+J27)</f>
        <v>-17.399999999999999</v>
      </c>
      <c r="K26" s="9">
        <f t="shared" ref="K26:O26" si="12">+J26*(1+K27)</f>
        <v>-24.359999999999996</v>
      </c>
      <c r="L26" s="9">
        <f t="shared" si="12"/>
        <v>-31.667999999999996</v>
      </c>
      <c r="M26" s="9">
        <f t="shared" si="12"/>
        <v>-38.001599999999996</v>
      </c>
      <c r="N26" s="9">
        <f t="shared" si="12"/>
        <v>-41.801760000000002</v>
      </c>
      <c r="O26" s="9">
        <f t="shared" si="12"/>
        <v>-45.981936000000005</v>
      </c>
    </row>
    <row r="27" spans="2:15" s="55" customFormat="1">
      <c r="B27" s="5" t="s">
        <v>10</v>
      </c>
      <c r="E27" s="62"/>
      <c r="F27" s="23">
        <f>+F26/E26-1</f>
        <v>-0.53846153846153855</v>
      </c>
      <c r="G27" s="23">
        <f t="shared" ref="G27:I27" si="13">+G26/F26-1</f>
        <v>2.1666666666666665</v>
      </c>
      <c r="H27" s="23">
        <f t="shared" si="13"/>
        <v>3.3157894736842106</v>
      </c>
      <c r="I27" s="23">
        <f t="shared" si="13"/>
        <v>0.41463414634146356</v>
      </c>
      <c r="J27" s="36">
        <v>0.5</v>
      </c>
      <c r="K27" s="36">
        <v>0.4</v>
      </c>
      <c r="L27" s="36">
        <v>0.3</v>
      </c>
      <c r="M27" s="36">
        <v>0.2</v>
      </c>
      <c r="N27" s="36">
        <v>0.1</v>
      </c>
      <c r="O27" s="36">
        <v>0.1</v>
      </c>
    </row>
    <row r="28" spans="2:15">
      <c r="B28" s="26" t="s">
        <v>21</v>
      </c>
      <c r="C28" s="26"/>
      <c r="D28" s="26"/>
      <c r="E28" s="288">
        <f t="shared" ref="E28:O28" si="14">SUM(E23,E25:E26, E20)</f>
        <v>-15.089000000000002</v>
      </c>
      <c r="F28" s="288">
        <f t="shared" si="14"/>
        <v>-26.856000000000005</v>
      </c>
      <c r="G28" s="288">
        <f t="shared" si="14"/>
        <v>-28.951000000000001</v>
      </c>
      <c r="H28" s="288">
        <f t="shared" si="14"/>
        <v>-4.29199999999999</v>
      </c>
      <c r="I28" s="288">
        <f t="shared" si="14"/>
        <v>-16.303000000000058</v>
      </c>
      <c r="J28" s="288">
        <f t="shared" si="14"/>
        <v>-59.684154162129168</v>
      </c>
      <c r="K28" s="288">
        <f t="shared" si="14"/>
        <v>-63.071722514842399</v>
      </c>
      <c r="L28" s="288">
        <f t="shared" si="14"/>
        <v>-84.539181902259941</v>
      </c>
      <c r="M28" s="288">
        <f t="shared" si="14"/>
        <v>-46.820524545130759</v>
      </c>
      <c r="N28" s="288">
        <f t="shared" si="14"/>
        <v>44.86105673945714</v>
      </c>
      <c r="O28" s="288">
        <f t="shared" si="14"/>
        <v>199.66310251030461</v>
      </c>
    </row>
    <row r="29" spans="2:15">
      <c r="B29" s="40"/>
      <c r="C29" s="40"/>
      <c r="D29" s="40"/>
      <c r="E29" s="67"/>
      <c r="F29" s="67"/>
      <c r="G29" s="67"/>
      <c r="H29" s="67"/>
      <c r="I29" s="67"/>
      <c r="J29" s="67"/>
      <c r="K29" s="67"/>
      <c r="L29" s="67"/>
      <c r="M29" s="67"/>
      <c r="N29" s="67"/>
      <c r="O29" s="67"/>
    </row>
    <row r="30" spans="2:15">
      <c r="B30" s="40" t="s">
        <v>62</v>
      </c>
      <c r="C30" s="40"/>
      <c r="D30" s="287">
        <f>+WACC!D22</f>
        <v>9.765699999999998E-2</v>
      </c>
      <c r="E30" s="67"/>
      <c r="F30" s="67"/>
      <c r="G30" s="67"/>
      <c r="H30" s="67"/>
      <c r="I30" s="67"/>
      <c r="J30" s="67"/>
      <c r="K30" s="67"/>
      <c r="L30" s="67"/>
      <c r="M30" s="67"/>
      <c r="N30" s="67"/>
      <c r="O30" s="67"/>
    </row>
    <row r="31" spans="2:15">
      <c r="B31" s="1" t="s">
        <v>108</v>
      </c>
      <c r="E31" s="1" t="s">
        <v>109</v>
      </c>
      <c r="J31" s="3"/>
      <c r="K31" s="3">
        <v>0.5</v>
      </c>
      <c r="L31" s="1">
        <f>+K31+1</f>
        <v>1.5</v>
      </c>
      <c r="M31" s="1">
        <f t="shared" ref="M31:O31" si="15">+L31+1</f>
        <v>2.5</v>
      </c>
      <c r="N31" s="1">
        <f t="shared" si="15"/>
        <v>3.5</v>
      </c>
      <c r="O31" s="1">
        <f t="shared" si="15"/>
        <v>4.5</v>
      </c>
    </row>
    <row r="32" spans="2:15">
      <c r="B32" s="1" t="s">
        <v>107</v>
      </c>
      <c r="J32" s="24"/>
      <c r="K32" s="24">
        <f>1/(1+$D$30)^K31</f>
        <v>0.95447965194951045</v>
      </c>
      <c r="L32" s="24">
        <f t="shared" ref="L32:O32" si="16">1/(1+$D$30)^L31</f>
        <v>0.86956093930026457</v>
      </c>
      <c r="M32" s="24">
        <f t="shared" si="16"/>
        <v>0.79219732512093011</v>
      </c>
      <c r="N32" s="24">
        <f t="shared" si="16"/>
        <v>0.72171664292299886</v>
      </c>
      <c r="O32" s="24">
        <f t="shared" si="16"/>
        <v>0.65750652792538922</v>
      </c>
    </row>
    <row r="33" spans="2:15">
      <c r="B33" s="1" t="s">
        <v>118</v>
      </c>
      <c r="D33" s="9">
        <f>SUM(J33:O33)</f>
        <v>-7.1469759274987723</v>
      </c>
      <c r="J33" s="9"/>
      <c r="K33" s="9">
        <f t="shared" ref="K33:O33" si="17">K28*K32</f>
        <v>-60.200675753822878</v>
      </c>
      <c r="L33" s="9">
        <f t="shared" si="17"/>
        <v>-73.511970422605074</v>
      </c>
      <c r="M33" s="9">
        <f t="shared" si="17"/>
        <v>-37.091094305411438</v>
      </c>
      <c r="N33" s="9">
        <f t="shared" si="17"/>
        <v>32.376971267979179</v>
      </c>
      <c r="O33" s="9">
        <f t="shared" si="17"/>
        <v>131.27979328636144</v>
      </c>
    </row>
    <row r="34" spans="2:15">
      <c r="B34" s="1" t="s">
        <v>112</v>
      </c>
      <c r="D34" s="9">
        <f>O21</f>
        <v>248.97671295413829</v>
      </c>
    </row>
    <row r="35" spans="2:15">
      <c r="B35" s="1" t="s">
        <v>114</v>
      </c>
      <c r="D35" s="78">
        <v>12</v>
      </c>
    </row>
    <row r="36" spans="2:15">
      <c r="B36" s="26" t="s">
        <v>110</v>
      </c>
      <c r="C36" s="26"/>
      <c r="D36" s="30">
        <f>D34*D35</f>
        <v>2987.7205554496595</v>
      </c>
    </row>
    <row r="37" spans="2:15">
      <c r="B37" s="40"/>
      <c r="C37" s="40"/>
      <c r="D37" s="67"/>
    </row>
    <row r="38" spans="2:15">
      <c r="B38" s="40" t="s">
        <v>108</v>
      </c>
      <c r="C38" s="40"/>
      <c r="D38" s="67">
        <f>O31</f>
        <v>4.5</v>
      </c>
    </row>
    <row r="39" spans="2:15" ht="15" customHeight="1">
      <c r="B39" s="40" t="s">
        <v>107</v>
      </c>
      <c r="C39" s="40"/>
      <c r="D39" s="24">
        <f>O32</f>
        <v>0.65750652792538922</v>
      </c>
    </row>
    <row r="40" spans="2:15">
      <c r="B40" s="40" t="s">
        <v>116</v>
      </c>
      <c r="C40" s="40"/>
      <c r="D40" s="67">
        <f>D36*D39</f>
        <v>1964.4457688250209</v>
      </c>
    </row>
    <row r="41" spans="2:15">
      <c r="B41" s="26" t="s">
        <v>117</v>
      </c>
      <c r="C41" s="26"/>
      <c r="D41" s="30">
        <f>D33+D40</f>
        <v>1957.2987928975222</v>
      </c>
    </row>
    <row r="42" spans="2:15">
      <c r="B42" s="40"/>
      <c r="C42" s="40"/>
      <c r="D42" s="67"/>
    </row>
    <row r="43" spans="2:15">
      <c r="B43" s="40" t="s">
        <v>124</v>
      </c>
      <c r="C43" s="40"/>
      <c r="D43" s="65">
        <v>80.5</v>
      </c>
      <c r="E43" s="285"/>
    </row>
    <row r="44" spans="2:15">
      <c r="B44" s="1" t="s">
        <v>121</v>
      </c>
      <c r="D44" s="9">
        <f>+D41+D43</f>
        <v>2037.7987928975222</v>
      </c>
      <c r="E44" s="286"/>
    </row>
    <row r="45" spans="2:15">
      <c r="B45" s="1" t="s">
        <v>122</v>
      </c>
      <c r="D45" s="70">
        <f>+WACC!H7</f>
        <v>168.87867700000001</v>
      </c>
      <c r="E45" s="285"/>
    </row>
    <row r="46" spans="2:15">
      <c r="B46" s="26" t="s">
        <v>123</v>
      </c>
      <c r="C46" s="26"/>
      <c r="D46" s="45">
        <f>+D44/D45</f>
        <v>12.066643516502216</v>
      </c>
      <c r="E46" s="285"/>
    </row>
    <row r="48" spans="2:15">
      <c r="B48" s="2" t="s">
        <v>119</v>
      </c>
      <c r="F48" s="9"/>
    </row>
    <row r="49" spans="2:4">
      <c r="B49" s="1" t="s">
        <v>120</v>
      </c>
      <c r="D49" s="50">
        <f>(D36*D30-O28)/(O28+D36)</f>
        <v>2.8897909275281752E-2</v>
      </c>
    </row>
    <row r="50" spans="2:4">
      <c r="B50" s="1" t="s">
        <v>113</v>
      </c>
      <c r="D50" s="9">
        <f>O20</f>
        <v>214.0816827872236</v>
      </c>
    </row>
    <row r="51" spans="2:4">
      <c r="B51" s="40" t="s">
        <v>115</v>
      </c>
      <c r="C51" s="40"/>
      <c r="D51" s="68">
        <f>+D36/D50</f>
        <v>13.955984073701268</v>
      </c>
    </row>
    <row r="52" spans="2:4">
      <c r="B52" s="40"/>
      <c r="C52" s="40"/>
      <c r="D52" s="68"/>
    </row>
    <row r="53" spans="2:4">
      <c r="B53" s="40"/>
      <c r="C53" s="40"/>
      <c r="D53" s="68"/>
    </row>
    <row r="54" spans="2:4">
      <c r="B54" s="40" t="s">
        <v>310</v>
      </c>
      <c r="C54" s="40"/>
      <c r="D54" s="9">
        <f>O28</f>
        <v>199.66310251030461</v>
      </c>
    </row>
    <row r="55" spans="2:4">
      <c r="B55" s="40" t="s">
        <v>120</v>
      </c>
      <c r="C55" s="40"/>
      <c r="D55" s="231">
        <v>3.5000000000000003E-2</v>
      </c>
    </row>
    <row r="56" spans="2:4">
      <c r="B56" s="26" t="s">
        <v>110</v>
      </c>
      <c r="C56" s="26"/>
      <c r="D56" s="30">
        <f>D54*(1+D55)/(D30-D55)</f>
        <v>3298.1360597884568</v>
      </c>
    </row>
    <row r="57" spans="2:4">
      <c r="B57" s="40"/>
      <c r="C57" s="40"/>
      <c r="D57" s="68"/>
    </row>
    <row r="58" spans="2:4">
      <c r="B58" s="40" t="s">
        <v>108</v>
      </c>
      <c r="C58" s="40"/>
      <c r="D58" s="67">
        <f>D38</f>
        <v>4.5</v>
      </c>
    </row>
    <row r="59" spans="2:4">
      <c r="B59" s="40" t="s">
        <v>107</v>
      </c>
      <c r="C59" s="40"/>
      <c r="D59" s="24">
        <f>D39</f>
        <v>0.65750652792538922</v>
      </c>
    </row>
    <row r="60" spans="2:4">
      <c r="B60" s="40" t="s">
        <v>116</v>
      </c>
      <c r="C60" s="40"/>
      <c r="D60" s="67">
        <f>D56*D59</f>
        <v>2168.5459892970321</v>
      </c>
    </row>
    <row r="61" spans="2:4">
      <c r="B61" s="26" t="s">
        <v>117</v>
      </c>
      <c r="C61" s="26"/>
      <c r="D61" s="30">
        <f>D33+D60</f>
        <v>2161.3990133695333</v>
      </c>
    </row>
    <row r="62" spans="2:4">
      <c r="B62" s="40"/>
      <c r="C62" s="40"/>
      <c r="D62" s="68"/>
    </row>
    <row r="63" spans="2:4">
      <c r="B63" s="40" t="s">
        <v>124</v>
      </c>
      <c r="C63" s="40"/>
      <c r="D63" s="65">
        <v>80.5</v>
      </c>
    </row>
    <row r="64" spans="2:4">
      <c r="B64" s="1" t="s">
        <v>121</v>
      </c>
      <c r="D64" s="9">
        <f>+D61+D63</f>
        <v>2241.8990133695333</v>
      </c>
    </row>
    <row r="65" spans="2:32">
      <c r="B65" s="1" t="s">
        <v>122</v>
      </c>
      <c r="D65" s="70">
        <f>D45</f>
        <v>168.87867700000001</v>
      </c>
    </row>
    <row r="66" spans="2:32">
      <c r="B66" s="26" t="s">
        <v>123</v>
      </c>
      <c r="C66" s="26"/>
      <c r="D66" s="45">
        <f>+D64/D65</f>
        <v>13.275204739847252</v>
      </c>
    </row>
    <row r="67" spans="2:32">
      <c r="B67" s="40"/>
      <c r="C67" s="40"/>
      <c r="D67" s="68"/>
    </row>
    <row r="68" spans="2:32">
      <c r="B68" s="40"/>
      <c r="C68" s="40"/>
      <c r="D68" s="68"/>
    </row>
    <row r="69" spans="2:32">
      <c r="B69" s="40"/>
      <c r="C69" s="40"/>
      <c r="D69" s="68"/>
    </row>
    <row r="70" spans="2:32">
      <c r="B70" s="40"/>
      <c r="C70" s="40"/>
      <c r="D70" s="68"/>
    </row>
    <row r="71" spans="2:32">
      <c r="B71" s="40"/>
      <c r="C71" s="40"/>
      <c r="D71" s="68"/>
    </row>
    <row r="73" spans="2:32">
      <c r="B73" s="1" t="s">
        <v>22</v>
      </c>
      <c r="E73" s="3">
        <v>-0.3</v>
      </c>
      <c r="F73" s="3">
        <v>-0.3</v>
      </c>
      <c r="G73" s="3">
        <v>-0.5</v>
      </c>
      <c r="H73" s="3">
        <v>-1.6</v>
      </c>
      <c r="I73" s="3">
        <v>-9.1999999999999993</v>
      </c>
      <c r="J73" s="9">
        <f t="shared" ref="J73:O73" si="18">-J7*J74</f>
        <v>-8.6320000000000014</v>
      </c>
      <c r="K73" s="9">
        <f t="shared" si="18"/>
        <v>-12.665999999999999</v>
      </c>
      <c r="L73" s="9">
        <f t="shared" si="18"/>
        <v>-16.290757353466113</v>
      </c>
      <c r="M73" s="9">
        <f t="shared" si="18"/>
        <v>-21.940558649940048</v>
      </c>
      <c r="N73" s="9">
        <f t="shared" si="18"/>
        <v>-29.452093914139855</v>
      </c>
      <c r="O73" s="9">
        <f t="shared" si="18"/>
        <v>-39.39353682995192</v>
      </c>
    </row>
    <row r="74" spans="2:32">
      <c r="B74" s="5" t="s">
        <v>46</v>
      </c>
      <c r="E74" s="23">
        <f>-E73/E7</f>
        <v>2.0980488146024198E-2</v>
      </c>
      <c r="F74" s="23">
        <f>-F73/F7</f>
        <v>1.5517508922567631E-2</v>
      </c>
      <c r="G74" s="23">
        <f>-G73/G7</f>
        <v>9.0597764047183321E-3</v>
      </c>
      <c r="H74" s="23">
        <f>-H73/H7</f>
        <v>1.1608419005884017E-2</v>
      </c>
      <c r="I74" s="23">
        <f>-I73/I7</f>
        <v>3.3529774074924468E-2</v>
      </c>
      <c r="J74" s="36">
        <v>0.02</v>
      </c>
      <c r="K74" s="36">
        <v>0.02</v>
      </c>
      <c r="L74" s="36">
        <v>0.02</v>
      </c>
      <c r="M74" s="36">
        <v>0.02</v>
      </c>
      <c r="N74" s="36">
        <v>0.02</v>
      </c>
      <c r="O74" s="36">
        <v>0.02</v>
      </c>
    </row>
    <row r="77" spans="2:32" ht="24.95" customHeight="1">
      <c r="T77" s="281" t="s">
        <v>138</v>
      </c>
      <c r="U77" s="281"/>
      <c r="V77" s="281"/>
      <c r="W77" s="281"/>
      <c r="X77" s="281"/>
      <c r="AB77" s="281" t="s">
        <v>138</v>
      </c>
      <c r="AC77" s="281"/>
      <c r="AD77" s="281"/>
      <c r="AE77" s="281"/>
      <c r="AF77" s="281"/>
    </row>
    <row r="78" spans="2:32" ht="24.95" customHeight="1">
      <c r="V78" s="91" t="s">
        <v>137</v>
      </c>
      <c r="AB78" s="283" t="s">
        <v>311</v>
      </c>
      <c r="AC78" s="283"/>
      <c r="AD78" s="283"/>
      <c r="AE78" s="283"/>
      <c r="AF78" s="283"/>
    </row>
    <row r="79" spans="2:32" ht="24.95" customHeight="1" thickBot="1">
      <c r="S79" s="92">
        <f>D41</f>
        <v>1957.2987928975222</v>
      </c>
      <c r="T79" s="90">
        <v>10</v>
      </c>
      <c r="U79" s="90">
        <v>11</v>
      </c>
      <c r="V79" s="90">
        <v>12</v>
      </c>
      <c r="W79" s="90">
        <v>13</v>
      </c>
      <c r="X79" s="90">
        <v>14</v>
      </c>
      <c r="AA79" s="92">
        <f>D61</f>
        <v>2161.3990133695333</v>
      </c>
      <c r="AB79" s="232">
        <v>2.5000000000000001E-2</v>
      </c>
      <c r="AC79" s="232">
        <v>0.03</v>
      </c>
      <c r="AD79" s="232">
        <v>3.5000000000000003E-2</v>
      </c>
      <c r="AE79" s="232">
        <v>0.04</v>
      </c>
      <c r="AF79" s="232">
        <v>4.4999999999999998E-2</v>
      </c>
    </row>
    <row r="80" spans="2:32" ht="24.95" customHeight="1">
      <c r="R80" s="282" t="s">
        <v>62</v>
      </c>
      <c r="S80" s="80">
        <v>7.7700000000000005E-2</v>
      </c>
      <c r="T80" s="81">
        <f t="dataTable" ref="T80:X84" dt2D="1" dtr="1" r1="D35" r2="D30" ca="1"/>
        <v>1779.8977396264895</v>
      </c>
      <c r="U80" s="82">
        <v>1957.6922126119891</v>
      </c>
      <c r="V80" s="82">
        <v>2135.4866855974888</v>
      </c>
      <c r="W80" s="82">
        <v>2313.2811585829886</v>
      </c>
      <c r="X80" s="83">
        <v>2491.075631568488</v>
      </c>
      <c r="Z80" s="282" t="s">
        <v>62</v>
      </c>
      <c r="AA80" s="80">
        <v>7.7700000000000005E-2</v>
      </c>
      <c r="AB80" s="81">
        <f t="dataTable" ref="AB80:AF84" dt2D="1" dtr="1" r1="D55" r2="D30"/>
        <v>2775.0853304274333</v>
      </c>
      <c r="AC80" s="82">
        <v>3080.7155090817168</v>
      </c>
      <c r="AD80" s="82">
        <v>3457.9218419875883</v>
      </c>
      <c r="AE80" s="82">
        <v>3935.1829051072195</v>
      </c>
      <c r="AF80" s="83">
        <v>4558.3953636762762</v>
      </c>
    </row>
    <row r="81" spans="18:32" ht="24.95" customHeight="1">
      <c r="R81" s="282"/>
      <c r="S81" s="80">
        <v>8.77E-2</v>
      </c>
      <c r="T81" s="84">
        <v>1702.81873401858</v>
      </c>
      <c r="U81" s="85">
        <v>1873.374988700547</v>
      </c>
      <c r="V81" s="85">
        <v>2043.9312433825139</v>
      </c>
      <c r="W81" s="85">
        <v>2214.4874980644813</v>
      </c>
      <c r="X81" s="86">
        <v>2385.0437527464483</v>
      </c>
      <c r="Z81" s="282"/>
      <c r="AA81" s="80">
        <v>8.77E-2</v>
      </c>
      <c r="AB81" s="84">
        <v>2233.2112001911228</v>
      </c>
      <c r="AC81" s="85">
        <v>2438.8203871236701</v>
      </c>
      <c r="AD81" s="85">
        <v>2683.4446000396224</v>
      </c>
      <c r="AE81" s="85">
        <v>2979.3527150343912</v>
      </c>
      <c r="AF81" s="86">
        <v>3344.5601543839057</v>
      </c>
    </row>
    <row r="82" spans="18:32" ht="24.95" customHeight="1">
      <c r="R82" s="282"/>
      <c r="S82" s="80">
        <v>9.7699999999999995E-2</v>
      </c>
      <c r="T82" s="84">
        <v>1629.5841632280287</v>
      </c>
      <c r="U82" s="85">
        <v>1793.2591219477968</v>
      </c>
      <c r="V82" s="85">
        <v>1956.934080667565</v>
      </c>
      <c r="W82" s="85">
        <v>2120.6090393873333</v>
      </c>
      <c r="X82" s="86">
        <v>2284.2839981071015</v>
      </c>
      <c r="Z82" s="282"/>
      <c r="AA82" s="80">
        <v>9.7699999999999995E-2</v>
      </c>
      <c r="AB82" s="84">
        <v>1843.4270038964496</v>
      </c>
      <c r="AC82" s="85">
        <v>1989.7969507976725</v>
      </c>
      <c r="AD82" s="85">
        <v>2159.5113868378467</v>
      </c>
      <c r="AE82" s="85">
        <v>2358.6390700253642</v>
      </c>
      <c r="AF82" s="86">
        <v>2595.5518923376476</v>
      </c>
    </row>
    <row r="83" spans="18:32" ht="24.95" customHeight="1">
      <c r="R83" s="282"/>
      <c r="S83" s="80">
        <v>0.1077</v>
      </c>
      <c r="T83" s="84">
        <v>1559.9711259473959</v>
      </c>
      <c r="U83" s="85">
        <v>1717.1010962000616</v>
      </c>
      <c r="V83" s="85">
        <v>1874.2310664527274</v>
      </c>
      <c r="W83" s="85">
        <v>2031.3610367053932</v>
      </c>
      <c r="X83" s="86">
        <v>2188.4910069580592</v>
      </c>
      <c r="Z83" s="282"/>
      <c r="AA83" s="80">
        <v>0.1077</v>
      </c>
      <c r="AB83" s="84">
        <v>1550.4392446378101</v>
      </c>
      <c r="AC83" s="85">
        <v>1659.0477272671947</v>
      </c>
      <c r="AD83" s="85">
        <v>1782.5954784838393</v>
      </c>
      <c r="AE83" s="85">
        <v>1924.3925282553803</v>
      </c>
      <c r="AF83" s="86">
        <v>2088.8047374801176</v>
      </c>
    </row>
    <row r="84" spans="18:32" ht="24.95" customHeight="1" thickBot="1">
      <c r="R84" s="282"/>
      <c r="S84" s="80">
        <v>0.1177</v>
      </c>
      <c r="T84" s="87">
        <v>1493.7714675621073</v>
      </c>
      <c r="U84" s="88">
        <v>1644.6735037000951</v>
      </c>
      <c r="V84" s="88">
        <v>1795.5755398380832</v>
      </c>
      <c r="W84" s="88">
        <v>1946.477575976071</v>
      </c>
      <c r="X84" s="89">
        <v>2097.3796121140585</v>
      </c>
      <c r="Z84" s="282"/>
      <c r="AA84" s="80">
        <v>0.1177</v>
      </c>
      <c r="AB84" s="87">
        <v>1322.8195148205566</v>
      </c>
      <c r="AC84" s="88">
        <v>1406.0054903098946</v>
      </c>
      <c r="AD84" s="88">
        <v>1499.2502294617884</v>
      </c>
      <c r="AE84" s="88">
        <v>1604.4955785431412</v>
      </c>
      <c r="AF84" s="89">
        <v>1724.2175918722719</v>
      </c>
    </row>
  </sheetData>
  <mergeCells count="5">
    <mergeCell ref="AB77:AF77"/>
    <mergeCell ref="Z80:Z84"/>
    <mergeCell ref="AB78:AF78"/>
    <mergeCell ref="T77:X77"/>
    <mergeCell ref="R80:R8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2"/>
  <sheetViews>
    <sheetView showGridLines="0" workbookViewId="0">
      <selection activeCell="B30" sqref="B30"/>
    </sheetView>
  </sheetViews>
  <sheetFormatPr defaultRowHeight="12.75"/>
  <cols>
    <col min="1" max="3" width="9.140625" style="1"/>
    <col min="4" max="4" width="9.140625" style="1" customWidth="1"/>
    <col min="5" max="16384" width="9.140625" style="1"/>
  </cols>
  <sheetData>
    <row r="2" spans="2:8" ht="20.25">
      <c r="B2" s="4" t="s">
        <v>135</v>
      </c>
    </row>
    <row r="4" spans="2:8">
      <c r="B4" s="2" t="s">
        <v>47</v>
      </c>
      <c r="F4" s="2" t="s">
        <v>52</v>
      </c>
    </row>
    <row r="5" spans="2:8">
      <c r="B5" s="1" t="s">
        <v>50</v>
      </c>
      <c r="C5" s="20">
        <v>0</v>
      </c>
      <c r="D5" s="12">
        <f>+C5/C$7</f>
        <v>0</v>
      </c>
      <c r="F5" s="1" t="s">
        <v>53</v>
      </c>
      <c r="H5" s="28">
        <v>41249</v>
      </c>
    </row>
    <row r="6" spans="2:8">
      <c r="B6" s="1" t="s">
        <v>48</v>
      </c>
      <c r="C6" s="25">
        <f>+H6*H7</f>
        <v>1329.0751879900001</v>
      </c>
      <c r="D6" s="12">
        <f>+C6/C$7</f>
        <v>1</v>
      </c>
      <c r="F6" s="1" t="s">
        <v>54</v>
      </c>
      <c r="H6" s="29">
        <v>7.87</v>
      </c>
    </row>
    <row r="7" spans="2:8">
      <c r="B7" s="26" t="s">
        <v>51</v>
      </c>
      <c r="C7" s="30">
        <f>SUM(C5:C6)</f>
        <v>1329.0751879900001</v>
      </c>
      <c r="D7" s="31"/>
      <c r="F7" s="1" t="s">
        <v>55</v>
      </c>
      <c r="H7" s="69">
        <f>168878677/1000000</f>
        <v>168.87867700000001</v>
      </c>
    </row>
    <row r="10" spans="2:8">
      <c r="B10" s="2" t="s">
        <v>49</v>
      </c>
    </row>
    <row r="11" spans="2:8">
      <c r="B11" s="1" t="s">
        <v>58</v>
      </c>
      <c r="D11" s="47">
        <f>AVERAGE(1.6327,1.5687)%</f>
        <v>1.6007E-2</v>
      </c>
    </row>
    <row r="12" spans="2:8">
      <c r="B12" s="1" t="s">
        <v>56</v>
      </c>
      <c r="D12" s="71">
        <v>1.17</v>
      </c>
    </row>
    <row r="13" spans="2:8">
      <c r="B13" s="1" t="s">
        <v>57</v>
      </c>
      <c r="D13" s="48">
        <v>5.5E-2</v>
      </c>
    </row>
    <row r="14" spans="2:8">
      <c r="B14" s="1" t="s">
        <v>87</v>
      </c>
      <c r="D14" s="79">
        <v>1.7299999999999999E-2</v>
      </c>
    </row>
    <row r="15" spans="2:8">
      <c r="B15" s="26" t="s">
        <v>49</v>
      </c>
      <c r="C15" s="26"/>
      <c r="D15" s="53">
        <f>+D11+D12*D13+D14</f>
        <v>9.765699999999998E-2</v>
      </c>
    </row>
    <row r="18" spans="2:4">
      <c r="B18" s="2" t="s">
        <v>59</v>
      </c>
    </row>
    <row r="19" spans="2:4">
      <c r="C19" s="34" t="s">
        <v>60</v>
      </c>
      <c r="D19" s="33" t="s">
        <v>61</v>
      </c>
    </row>
    <row r="20" spans="2:4">
      <c r="B20" s="1" t="s">
        <v>50</v>
      </c>
      <c r="C20" s="51">
        <v>0.05</v>
      </c>
      <c r="D20" s="32">
        <f>+D5</f>
        <v>0</v>
      </c>
    </row>
    <row r="21" spans="2:4">
      <c r="B21" s="1" t="s">
        <v>48</v>
      </c>
      <c r="C21" s="52">
        <f>+D15</f>
        <v>9.765699999999998E-2</v>
      </c>
      <c r="D21" s="32">
        <f>+D6</f>
        <v>1</v>
      </c>
    </row>
    <row r="22" spans="2:4">
      <c r="B22" s="26" t="s">
        <v>62</v>
      </c>
      <c r="C22" s="26"/>
      <c r="D22" s="35">
        <f>+C20*D20+C21*D21</f>
        <v>9.765699999999998E-2</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showGridLines="0" zoomScaleNormal="100" workbookViewId="0"/>
  </sheetViews>
  <sheetFormatPr defaultRowHeight="12.75"/>
  <cols>
    <col min="1" max="16384" width="9.140625" style="1"/>
  </cols>
  <sheetData>
    <row r="2" spans="2:15" ht="20.25">
      <c r="B2" s="4" t="s">
        <v>89</v>
      </c>
    </row>
    <row r="4" spans="2:15">
      <c r="E4" s="7">
        <v>2008</v>
      </c>
      <c r="F4" s="7">
        <f>+E4+1</f>
        <v>2009</v>
      </c>
      <c r="G4" s="7">
        <f t="shared" ref="G4:O4" si="0">+F4+1</f>
        <v>2010</v>
      </c>
      <c r="H4" s="7">
        <f t="shared" si="0"/>
        <v>2011</v>
      </c>
      <c r="I4" s="7">
        <f t="shared" si="0"/>
        <v>2012</v>
      </c>
      <c r="J4" s="8">
        <f t="shared" si="0"/>
        <v>2013</v>
      </c>
      <c r="K4" s="8">
        <f t="shared" si="0"/>
        <v>2014</v>
      </c>
      <c r="L4" s="8">
        <f t="shared" si="0"/>
        <v>2015</v>
      </c>
      <c r="M4" s="8">
        <f t="shared" si="0"/>
        <v>2016</v>
      </c>
      <c r="N4" s="8">
        <f t="shared" si="0"/>
        <v>2017</v>
      </c>
      <c r="O4" s="8">
        <f t="shared" si="0"/>
        <v>2018</v>
      </c>
    </row>
    <row r="5" spans="2:15">
      <c r="B5" s="1" t="s">
        <v>44</v>
      </c>
      <c r="E5" s="21">
        <f>+'Revenue Build'!E62</f>
        <v>14.298999999999999</v>
      </c>
      <c r="F5" s="21">
        <f>+'Revenue Build'!F62</f>
        <v>19.332999999999998</v>
      </c>
      <c r="G5" s="21">
        <f>+'Revenue Build'!G62</f>
        <v>55.189</v>
      </c>
      <c r="H5" s="21">
        <f>+'Revenue Build'!H62</f>
        <v>137.83100000000002</v>
      </c>
      <c r="I5" s="21">
        <f>+'Revenue Build'!I62</f>
        <v>274.38299999999998</v>
      </c>
      <c r="J5" s="21">
        <f>+'Revenue Build'!J62</f>
        <v>431.6</v>
      </c>
      <c r="K5" s="21">
        <f>+'Revenue Build'!K62</f>
        <v>633.29999999999995</v>
      </c>
      <c r="L5" s="21">
        <f>+'Revenue Build'!L62</f>
        <v>814.53786767330564</v>
      </c>
      <c r="M5" s="21">
        <f>+'Revenue Build'!M62</f>
        <v>1097.0279324970024</v>
      </c>
      <c r="N5" s="21">
        <f>+'Revenue Build'!N62</f>
        <v>1472.6046957069927</v>
      </c>
      <c r="O5" s="21">
        <f>+'Revenue Build'!O62</f>
        <v>1969.6768414975959</v>
      </c>
    </row>
    <row r="6" spans="2:15" s="55" customFormat="1">
      <c r="B6" s="5" t="s">
        <v>10</v>
      </c>
      <c r="F6" s="12">
        <f>F5/E5-1</f>
        <v>0.35205259109028586</v>
      </c>
      <c r="G6" s="12">
        <f>G5/F5-1</f>
        <v>1.8546526664252836</v>
      </c>
      <c r="H6" s="12">
        <f t="shared" ref="H6" si="1">H5/G5-1</f>
        <v>1.4974360832774649</v>
      </c>
      <c r="I6" s="12">
        <f t="shared" ref="I6:J6" si="2">I5/H5-1</f>
        <v>0.99072052005717115</v>
      </c>
      <c r="J6" s="12">
        <f t="shared" si="2"/>
        <v>0.57298374899319593</v>
      </c>
      <c r="K6" s="12">
        <f t="shared" ref="K6" si="3">K5/J5-1</f>
        <v>0.46733086190917494</v>
      </c>
      <c r="L6" s="12">
        <f t="shared" ref="L6" si="4">L5/K5-1</f>
        <v>0.28618011633239493</v>
      </c>
      <c r="M6" s="12">
        <f t="shared" ref="M6" si="5">M5/L5-1</f>
        <v>0.34681022949935802</v>
      </c>
      <c r="N6" s="12">
        <f t="shared" ref="N6" si="6">N5/M5-1</f>
        <v>0.34235843234649499</v>
      </c>
      <c r="O6" s="12">
        <f t="shared" ref="O6" si="7">O5/N5-1</f>
        <v>0.33754621809891794</v>
      </c>
    </row>
    <row r="7" spans="2:15">
      <c r="E7" s="7"/>
      <c r="F7" s="7"/>
      <c r="G7" s="7"/>
      <c r="H7" s="7"/>
      <c r="I7" s="7"/>
      <c r="J7" s="8"/>
      <c r="K7" s="8"/>
      <c r="L7" s="8"/>
      <c r="M7" s="8"/>
      <c r="N7" s="8"/>
      <c r="O7" s="8"/>
    </row>
    <row r="8" spans="2:15">
      <c r="B8" s="1" t="str">
        <f>+'Revenue Build'!B59</f>
        <v>Total Listener Hours</v>
      </c>
      <c r="G8" s="21">
        <f>+'Revenue Build'!G59</f>
        <v>1800</v>
      </c>
      <c r="H8" s="21">
        <f>+'Revenue Build'!H59</f>
        <v>3943.3</v>
      </c>
      <c r="I8" s="21">
        <f>+'Revenue Build'!I59</f>
        <v>8259.5</v>
      </c>
      <c r="J8" s="21">
        <f>+'Revenue Build'!J59</f>
        <v>13981.599999999999</v>
      </c>
      <c r="K8" s="21">
        <f>+'Revenue Build'!K59</f>
        <v>18748.400000000001</v>
      </c>
      <c r="L8" s="21">
        <f>+'Revenue Build'!L59</f>
        <v>22360.92</v>
      </c>
      <c r="M8" s="21">
        <f>+'Revenue Build'!M59</f>
        <v>26682.227999999999</v>
      </c>
      <c r="N8" s="21">
        <f>+'Revenue Build'!N59</f>
        <v>31852.71</v>
      </c>
      <c r="O8" s="21">
        <f>+'Revenue Build'!O59</f>
        <v>38040.692039999994</v>
      </c>
    </row>
    <row r="9" spans="2:15">
      <c r="B9" s="5" t="s">
        <v>10</v>
      </c>
      <c r="E9" s="7"/>
      <c r="F9" s="12"/>
      <c r="G9" s="12"/>
      <c r="H9" s="12">
        <f t="shared" ref="H9" si="8">H8/G8-1</f>
        <v>1.1907222222222225</v>
      </c>
      <c r="I9" s="12">
        <f t="shared" ref="I9" si="9">I8/H8-1</f>
        <v>1.0945654654730808</v>
      </c>
      <c r="J9" s="12">
        <f t="shared" ref="J9" si="10">J8/I8-1</f>
        <v>0.69279012046734056</v>
      </c>
      <c r="K9" s="12">
        <f t="shared" ref="K9" si="11">K8/J8-1</f>
        <v>0.34093379870687213</v>
      </c>
      <c r="L9" s="12">
        <f t="shared" ref="L9" si="12">L8/K8-1</f>
        <v>0.19268417571632757</v>
      </c>
      <c r="M9" s="12">
        <f t="shared" ref="M9" si="13">M8/L8-1</f>
        <v>0.19325269264413092</v>
      </c>
      <c r="N9" s="12">
        <f t="shared" ref="N9" si="14">N8/M8-1</f>
        <v>0.19377999468410212</v>
      </c>
      <c r="O9" s="12">
        <f t="shared" ref="O9" si="15">O8/N8-1</f>
        <v>0.19426862078611196</v>
      </c>
    </row>
    <row r="10" spans="2:15">
      <c r="E10" s="7"/>
      <c r="F10" s="7"/>
      <c r="G10" s="7"/>
      <c r="H10" s="7"/>
      <c r="I10" s="7"/>
      <c r="J10" s="8"/>
      <c r="K10" s="8"/>
      <c r="L10" s="8"/>
      <c r="M10" s="8"/>
      <c r="N10" s="8"/>
      <c r="O10" s="8"/>
    </row>
    <row r="11" spans="2:15">
      <c r="B11" s="2" t="s">
        <v>90</v>
      </c>
    </row>
    <row r="12" spans="2:15">
      <c r="B12" s="1" t="s">
        <v>91</v>
      </c>
      <c r="F12" s="14">
        <v>4.3600000000000003</v>
      </c>
      <c r="G12" s="14">
        <v>19.233000000000001</v>
      </c>
      <c r="H12" s="14">
        <v>42.212000000000003</v>
      </c>
      <c r="I12" s="14">
        <v>66.738</v>
      </c>
    </row>
    <row r="13" spans="2:15">
      <c r="B13" s="58" t="s">
        <v>92</v>
      </c>
      <c r="C13" s="58"/>
      <c r="D13" s="58"/>
      <c r="E13" s="58"/>
      <c r="F13" s="14">
        <v>0.48699999999999999</v>
      </c>
      <c r="G13" s="14">
        <v>2.2799999999999998</v>
      </c>
      <c r="H13" s="14">
        <v>3.516</v>
      </c>
      <c r="I13" s="14">
        <v>2.806</v>
      </c>
      <c r="J13" s="59"/>
      <c r="K13" s="59"/>
      <c r="L13" s="59"/>
      <c r="M13" s="59"/>
      <c r="N13" s="59"/>
      <c r="O13" s="59"/>
    </row>
    <row r="14" spans="2:15">
      <c r="B14" s="1" t="s">
        <v>51</v>
      </c>
      <c r="F14" s="45">
        <f>SUM(F12:F13)</f>
        <v>4.8470000000000004</v>
      </c>
      <c r="G14" s="45">
        <f t="shared" ref="G14:I14" si="16">SUM(G12:G13)</f>
        <v>21.513000000000002</v>
      </c>
      <c r="H14" s="45">
        <f t="shared" si="16"/>
        <v>45.728000000000002</v>
      </c>
      <c r="I14" s="45">
        <f t="shared" si="16"/>
        <v>69.543999999999997</v>
      </c>
      <c r="J14" s="24">
        <f>J15*J$8/1000</f>
        <v>148.98758226118375</v>
      </c>
      <c r="K14" s="24">
        <f t="shared" ref="K14:O14" si="17">K15*K$8/1000</f>
        <v>199.7824846416417</v>
      </c>
      <c r="L14" s="24">
        <f t="shared" si="17"/>
        <v>238.27740801737633</v>
      </c>
      <c r="M14" s="24">
        <f t="shared" si="17"/>
        <v>284.32515871299853</v>
      </c>
      <c r="N14" s="24">
        <f t="shared" si="17"/>
        <v>339.42168645695989</v>
      </c>
      <c r="O14" s="24">
        <f t="shared" si="17"/>
        <v>405.36066934984962</v>
      </c>
    </row>
    <row r="15" spans="2:15" s="55" customFormat="1">
      <c r="B15" s="60" t="s">
        <v>98</v>
      </c>
      <c r="G15" s="61">
        <f>(G14/G$8)*(1000)</f>
        <v>11.951666666666668</v>
      </c>
      <c r="H15" s="61">
        <f>(H14/H$8)*(1000)</f>
        <v>11.59637866761342</v>
      </c>
      <c r="I15" s="61">
        <f>(I14/I$8)*(1000)</f>
        <v>8.4198801380228829</v>
      </c>
      <c r="J15" s="63">
        <f>+AVERAGE(G15:I15)</f>
        <v>10.655975157434325</v>
      </c>
      <c r="K15" s="63">
        <f>J15</f>
        <v>10.655975157434325</v>
      </c>
      <c r="L15" s="63">
        <f t="shared" ref="L15:O15" si="18">K15</f>
        <v>10.655975157434325</v>
      </c>
      <c r="M15" s="63">
        <f t="shared" si="18"/>
        <v>10.655975157434325</v>
      </c>
      <c r="N15" s="63">
        <f t="shared" si="18"/>
        <v>10.655975157434325</v>
      </c>
      <c r="O15" s="63">
        <f t="shared" si="18"/>
        <v>10.655975157434325</v>
      </c>
    </row>
    <row r="17" spans="2:15">
      <c r="B17" s="2" t="s">
        <v>93</v>
      </c>
    </row>
    <row r="18" spans="2:15">
      <c r="B18" s="1" t="s">
        <v>94</v>
      </c>
      <c r="F18" s="14">
        <v>0.69299999999999995</v>
      </c>
      <c r="G18" s="14">
        <v>0.83099999999999996</v>
      </c>
      <c r="H18" s="14">
        <v>1.9650000000000001</v>
      </c>
      <c r="I18" s="14">
        <v>2.0529999999999999</v>
      </c>
    </row>
    <row r="19" spans="2:15">
      <c r="B19" s="1" t="s">
        <v>95</v>
      </c>
      <c r="F19" s="14">
        <v>13.284000000000001</v>
      </c>
      <c r="G19" s="14">
        <v>11.525</v>
      </c>
      <c r="H19" s="14">
        <v>27.427</v>
      </c>
      <c r="I19" s="14">
        <v>49.622</v>
      </c>
    </row>
    <row r="20" spans="2:15">
      <c r="B20" s="1" t="s">
        <v>96</v>
      </c>
      <c r="F20" s="14">
        <v>0.59499999999999997</v>
      </c>
      <c r="G20" s="14">
        <v>6.1470000000000002</v>
      </c>
      <c r="H20" s="14">
        <v>15.91</v>
      </c>
      <c r="I20" s="14">
        <v>19.231999999999999</v>
      </c>
    </row>
    <row r="21" spans="2:15">
      <c r="B21" s="26" t="s">
        <v>51</v>
      </c>
      <c r="C21" s="26"/>
      <c r="D21" s="26"/>
      <c r="E21" s="26"/>
      <c r="F21" s="45">
        <f>SUM(F18:F20)</f>
        <v>14.572000000000001</v>
      </c>
      <c r="G21" s="45">
        <f>SUM(G18:G20)</f>
        <v>18.503</v>
      </c>
      <c r="H21" s="45">
        <f>SUM(H18:H20)</f>
        <v>45.302</v>
      </c>
      <c r="I21" s="45">
        <f>SUM(I18:I20)</f>
        <v>70.906999999999996</v>
      </c>
      <c r="J21" s="45">
        <f>J22*J$8/1000</f>
        <v>141.45974215066124</v>
      </c>
      <c r="K21" s="45">
        <f>K22*K$8/1000</f>
        <v>189.6881494061808</v>
      </c>
      <c r="L21" s="45">
        <f t="shared" ref="L21:O21" si="19">L22*L$8/1000</f>
        <v>226.23805411766637</v>
      </c>
      <c r="M21" s="45">
        <f t="shared" si="19"/>
        <v>269.95916725447404</v>
      </c>
      <c r="N21" s="45">
        <f t="shared" si="19"/>
        <v>322.2718532499706</v>
      </c>
      <c r="O21" s="45">
        <f t="shared" si="19"/>
        <v>384.87916169902667</v>
      </c>
    </row>
    <row r="22" spans="2:15" s="55" customFormat="1">
      <c r="B22" s="60" t="s">
        <v>99</v>
      </c>
      <c r="G22" s="61">
        <f>(G21/G$8)*(1000)</f>
        <v>10.279444444444445</v>
      </c>
      <c r="H22" s="61">
        <f>(H21/H$8)*(1000)</f>
        <v>11.488347323307888</v>
      </c>
      <c r="I22" s="61">
        <f>(I21/I$8)*(1000)</f>
        <v>8.5849022337913912</v>
      </c>
      <c r="J22" s="62">
        <f>+AVERAGE(G22:I22)</f>
        <v>10.117564667181242</v>
      </c>
      <c r="K22" s="62">
        <f>J22</f>
        <v>10.117564667181242</v>
      </c>
      <c r="L22" s="62">
        <f t="shared" ref="L22:O22" si="20">K22</f>
        <v>10.117564667181242</v>
      </c>
      <c r="M22" s="62">
        <f t="shared" si="20"/>
        <v>10.117564667181242</v>
      </c>
      <c r="N22" s="62">
        <f t="shared" si="20"/>
        <v>10.117564667181242</v>
      </c>
      <c r="O22" s="62">
        <f t="shared" si="20"/>
        <v>10.117564667181242</v>
      </c>
    </row>
    <row r="24" spans="2:15">
      <c r="B24" s="1" t="s">
        <v>97</v>
      </c>
      <c r="F24" s="24">
        <f t="shared" ref="F24:O24" si="21">F14-F21</f>
        <v>-9.7250000000000014</v>
      </c>
      <c r="G24" s="24">
        <f t="shared" si="21"/>
        <v>3.0100000000000016</v>
      </c>
      <c r="H24" s="24">
        <f t="shared" si="21"/>
        <v>0.42600000000000193</v>
      </c>
      <c r="I24" s="24">
        <f t="shared" si="21"/>
        <v>-1.3629999999999995</v>
      </c>
      <c r="J24" s="24">
        <f t="shared" si="21"/>
        <v>7.5278401105225043</v>
      </c>
      <c r="K24" s="24">
        <f t="shared" si="21"/>
        <v>10.094335235460903</v>
      </c>
      <c r="L24" s="24">
        <f t="shared" si="21"/>
        <v>12.039353899709965</v>
      </c>
      <c r="M24" s="24">
        <f t="shared" si="21"/>
        <v>14.365991458524491</v>
      </c>
      <c r="N24" s="24">
        <f t="shared" si="21"/>
        <v>17.149833206989285</v>
      </c>
      <c r="O24" s="24">
        <f t="shared" si="21"/>
        <v>20.481507650822948</v>
      </c>
    </row>
    <row r="25" spans="2:15">
      <c r="B25" s="5" t="s">
        <v>101</v>
      </c>
      <c r="F25" s="49">
        <f t="shared" ref="F25:O25" si="22">F24/F5</f>
        <v>-0.50302591423990084</v>
      </c>
      <c r="G25" s="49">
        <f t="shared" si="22"/>
        <v>5.4539853956404385E-2</v>
      </c>
      <c r="H25" s="49">
        <f t="shared" si="22"/>
        <v>3.0907415603166331E-3</v>
      </c>
      <c r="I25" s="49">
        <f t="shared" si="22"/>
        <v>-4.967508920013265E-3</v>
      </c>
      <c r="J25" s="49">
        <f t="shared" si="22"/>
        <v>1.7441705538745376E-2</v>
      </c>
      <c r="K25" s="49">
        <f t="shared" si="22"/>
        <v>1.5939262964567984E-2</v>
      </c>
      <c r="L25" s="49">
        <f t="shared" si="22"/>
        <v>1.4780594466528477E-2</v>
      </c>
      <c r="M25" s="49">
        <f t="shared" si="22"/>
        <v>1.3095374359179086E-2</v>
      </c>
      <c r="N25" s="49">
        <f t="shared" si="22"/>
        <v>1.1645917778875277E-2</v>
      </c>
      <c r="O25" s="49">
        <f t="shared" si="22"/>
        <v>1.039841014491003E-2</v>
      </c>
    </row>
    <row r="26" spans="2:15">
      <c r="B26" s="1" t="s">
        <v>100</v>
      </c>
      <c r="F26" s="24"/>
      <c r="G26" s="24">
        <f>G24-F24</f>
        <v>12.735000000000003</v>
      </c>
      <c r="H26" s="24">
        <f t="shared" ref="H26:O26" si="23">H24-G24</f>
        <v>-2.5839999999999996</v>
      </c>
      <c r="I26" s="24">
        <f t="shared" si="23"/>
        <v>-1.7890000000000015</v>
      </c>
      <c r="J26" s="24">
        <f t="shared" si="23"/>
        <v>8.8908401105225039</v>
      </c>
      <c r="K26" s="24">
        <f t="shared" si="23"/>
        <v>2.5664951249383989</v>
      </c>
      <c r="L26" s="24">
        <f t="shared" si="23"/>
        <v>1.9450186642490621</v>
      </c>
      <c r="M26" s="24">
        <f t="shared" si="23"/>
        <v>2.3266375588145252</v>
      </c>
      <c r="N26" s="24">
        <f t="shared" si="23"/>
        <v>2.7838417484647948</v>
      </c>
      <c r="O26" s="24">
        <f t="shared" si="23"/>
        <v>3.3316744438336627</v>
      </c>
    </row>
    <row r="28" spans="2:15" s="55" customFormat="1">
      <c r="B28" s="5"/>
      <c r="G28" s="12"/>
      <c r="H28" s="12"/>
      <c r="I28" s="12"/>
      <c r="J28" s="12"/>
      <c r="K28" s="12"/>
      <c r="L28" s="12"/>
      <c r="M28" s="12"/>
      <c r="N28" s="12"/>
      <c r="O28" s="12"/>
    </row>
    <row r="29" spans="2:15">
      <c r="B29" s="55"/>
      <c r="F29" s="49"/>
      <c r="G29" s="49"/>
      <c r="H29" s="49"/>
      <c r="I29" s="49"/>
    </row>
    <row r="30" spans="2:15">
      <c r="B30" s="55"/>
      <c r="F30" s="49"/>
      <c r="G30" s="49"/>
      <c r="H30" s="49"/>
      <c r="I30" s="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
  <sheetViews>
    <sheetView zoomScaleNormal="100" workbookViewId="0">
      <selection activeCell="G4" sqref="G4"/>
    </sheetView>
  </sheetViews>
  <sheetFormatPr defaultColWidth="8.85546875" defaultRowHeight="12.75"/>
  <cols>
    <col min="1" max="1" width="8.85546875" style="97"/>
    <col min="2" max="2" width="43.42578125" style="97" customWidth="1"/>
    <col min="3" max="4" width="8.85546875" style="97"/>
    <col min="5" max="5" width="1.42578125" style="97" customWidth="1"/>
    <col min="6" max="6" width="9.7109375" style="97" customWidth="1"/>
    <col min="7" max="7" width="10.7109375" style="97" customWidth="1"/>
    <col min="8" max="11" width="8.85546875" style="97"/>
    <col min="12" max="12" width="1.42578125" style="97" customWidth="1"/>
    <col min="13" max="16384" width="8.85546875" style="97"/>
  </cols>
  <sheetData>
    <row r="1" spans="2:9">
      <c r="F1" s="97" t="s">
        <v>144</v>
      </c>
    </row>
    <row r="2" spans="2:9">
      <c r="B2" s="99" t="s">
        <v>143</v>
      </c>
      <c r="D2" s="97" t="s">
        <v>142</v>
      </c>
      <c r="F2" s="99" t="s">
        <v>141</v>
      </c>
      <c r="G2" s="99" t="s">
        <v>140</v>
      </c>
    </row>
    <row r="3" spans="2:9">
      <c r="B3" s="97" t="s">
        <v>309</v>
      </c>
      <c r="C3" s="98">
        <f>F3</f>
        <v>1396.9823746039451</v>
      </c>
      <c r="D3" s="98">
        <f>G3-C3</f>
        <v>148.58021509676882</v>
      </c>
      <c r="F3" s="230">
        <f>'Market Multiples Analysis'!K66</f>
        <v>1396.9823746039451</v>
      </c>
      <c r="G3" s="230">
        <f>'Market Multiples Analysis'!N66</f>
        <v>1545.5625897007139</v>
      </c>
      <c r="H3" s="98"/>
      <c r="I3" s="98"/>
    </row>
    <row r="4" spans="2:9">
      <c r="B4" s="97" t="s">
        <v>166</v>
      </c>
      <c r="C4" s="98">
        <f>F4</f>
        <v>1648.62</v>
      </c>
      <c r="D4" s="98">
        <f>G4-C4</f>
        <v>136.92857142857156</v>
      </c>
      <c r="F4" s="230">
        <f>+Precedents!F20</f>
        <v>1648.62</v>
      </c>
      <c r="G4" s="230">
        <f>+Precedents!F19</f>
        <v>1785.5485714285714</v>
      </c>
    </row>
    <row r="5" spans="2:9">
      <c r="B5" s="97" t="s">
        <v>12</v>
      </c>
      <c r="C5" s="98">
        <f>F5</f>
        <v>1717.1010962000616</v>
      </c>
      <c r="D5" s="98">
        <f>G5-C5</f>
        <v>497.38640186441967</v>
      </c>
      <c r="E5" s="98"/>
      <c r="F5" s="230">
        <f>+DCF!U83</f>
        <v>1717.1010962000616</v>
      </c>
      <c r="G5" s="230">
        <f>+DCF!W81</f>
        <v>2214.4874980644813</v>
      </c>
      <c r="H5" s="98"/>
    </row>
  </sheetData>
  <pageMargins left="0.75" right="0.75" top="1" bottom="1" header="0.5" footer="0.5"/>
  <pageSetup scale="75" orientation="landscape" horizontalDpi="4294967293" verticalDpi="4294967293"/>
  <headerFooter alignWithMargins="0">
    <oddHeader>&amp;CValuation Summary</oddHead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showGridLines="0" zoomScale="110" zoomScaleNormal="110" workbookViewId="0">
      <selection activeCell="C23" sqref="C23"/>
    </sheetView>
  </sheetViews>
  <sheetFormatPr defaultRowHeight="15"/>
  <cols>
    <col min="2" max="2" width="12.28515625" customWidth="1"/>
    <col min="3" max="3" width="31.7109375" bestFit="1" customWidth="1"/>
    <col min="4" max="4" width="24.5703125" bestFit="1" customWidth="1"/>
    <col min="6" max="6" width="15.85546875" bestFit="1" customWidth="1"/>
    <col min="7" max="8" width="17" bestFit="1" customWidth="1"/>
  </cols>
  <sheetData>
    <row r="2" spans="2:9" ht="20.25">
      <c r="B2" s="4" t="s">
        <v>166</v>
      </c>
    </row>
    <row r="5" spans="2:9">
      <c r="D5" s="100"/>
    </row>
    <row r="7" spans="2:9">
      <c r="B7" s="284" t="s">
        <v>165</v>
      </c>
      <c r="C7" s="284"/>
      <c r="D7" s="284"/>
      <c r="E7" s="124"/>
      <c r="F7" s="124"/>
      <c r="G7" s="123"/>
      <c r="H7" s="122"/>
      <c r="I7" s="101"/>
    </row>
    <row r="8" spans="2:9">
      <c r="B8" s="121" t="s">
        <v>53</v>
      </c>
      <c r="C8" s="118" t="s">
        <v>164</v>
      </c>
      <c r="D8" s="118" t="s">
        <v>163</v>
      </c>
      <c r="E8" s="120"/>
      <c r="F8" s="118" t="s">
        <v>117</v>
      </c>
      <c r="G8" s="119" t="s">
        <v>162</v>
      </c>
      <c r="H8" s="118" t="s">
        <v>161</v>
      </c>
      <c r="I8" s="101"/>
    </row>
    <row r="9" spans="2:9">
      <c r="B9" s="108">
        <v>40829</v>
      </c>
      <c r="C9" s="110" t="s">
        <v>160</v>
      </c>
      <c r="D9" s="101" t="s">
        <v>159</v>
      </c>
      <c r="E9" s="101"/>
      <c r="F9" s="107">
        <v>9082.4</v>
      </c>
      <c r="G9" s="101">
        <v>859.8</v>
      </c>
      <c r="H9" s="102">
        <v>10.6</v>
      </c>
    </row>
    <row r="10" spans="2:9">
      <c r="B10" s="111">
        <f>DATE(2008,7,29)</f>
        <v>39658</v>
      </c>
      <c r="C10" s="110" t="s">
        <v>158</v>
      </c>
      <c r="D10" s="101" t="s">
        <v>157</v>
      </c>
      <c r="E10" s="101"/>
      <c r="F10" s="117">
        <v>6353.39</v>
      </c>
      <c r="G10" s="101">
        <v>933.4</v>
      </c>
      <c r="H10" s="102">
        <v>6.8</v>
      </c>
    </row>
    <row r="11" spans="2:9">
      <c r="B11" s="116">
        <f>DATE(2011,9,16)</f>
        <v>40802</v>
      </c>
      <c r="C11" s="115" t="s">
        <v>156</v>
      </c>
      <c r="D11" s="114" t="s">
        <v>155</v>
      </c>
      <c r="E11" s="101"/>
      <c r="F11" s="113">
        <v>2653.72</v>
      </c>
      <c r="G11" s="101">
        <v>739.6</v>
      </c>
      <c r="H11" s="112">
        <v>3.6</v>
      </c>
    </row>
    <row r="12" spans="2:9">
      <c r="B12" s="108">
        <v>41195</v>
      </c>
      <c r="C12" s="101" t="s">
        <v>154</v>
      </c>
      <c r="D12" s="101" t="s">
        <v>153</v>
      </c>
      <c r="E12" s="101"/>
      <c r="F12" s="107">
        <v>2000</v>
      </c>
      <c r="G12" s="101">
        <v>420</v>
      </c>
      <c r="H12" s="102">
        <v>4.8</v>
      </c>
    </row>
    <row r="13" spans="2:9">
      <c r="B13" s="111">
        <v>39629</v>
      </c>
      <c r="C13" s="110" t="s">
        <v>152</v>
      </c>
      <c r="D13" s="101" t="s">
        <v>151</v>
      </c>
      <c r="E13" s="101"/>
      <c r="F13" s="109">
        <v>1761</v>
      </c>
      <c r="G13" s="101">
        <v>408.2</v>
      </c>
      <c r="H13" s="102">
        <v>4.3</v>
      </c>
    </row>
    <row r="14" spans="2:9">
      <c r="B14" s="111">
        <f>DATE(2008,3,17)</f>
        <v>39524</v>
      </c>
      <c r="C14" s="110" t="s">
        <v>150</v>
      </c>
      <c r="D14" s="101" t="s">
        <v>149</v>
      </c>
      <c r="E14" s="101"/>
      <c r="F14" s="109">
        <v>210.63</v>
      </c>
      <c r="G14" s="101">
        <v>110</v>
      </c>
      <c r="H14" s="102">
        <v>1.9</v>
      </c>
    </row>
    <row r="15" spans="2:9">
      <c r="B15" s="108">
        <v>39746</v>
      </c>
      <c r="C15" s="101" t="s">
        <v>148</v>
      </c>
      <c r="D15" s="101" t="s">
        <v>147</v>
      </c>
      <c r="E15" s="101"/>
      <c r="F15" s="107">
        <v>69.37</v>
      </c>
      <c r="G15" s="101">
        <v>125.5</v>
      </c>
      <c r="H15" s="102">
        <v>0.6</v>
      </c>
    </row>
    <row r="16" spans="2:9">
      <c r="B16" s="106" t="s">
        <v>146</v>
      </c>
      <c r="C16" s="105"/>
      <c r="D16" s="105"/>
      <c r="E16" s="105"/>
      <c r="F16" s="105"/>
      <c r="G16" s="104"/>
      <c r="H16" s="103">
        <f>AVERAGE(H9:H15)</f>
        <v>4.6571428571428575</v>
      </c>
      <c r="I16" s="101"/>
    </row>
    <row r="17" spans="2:9">
      <c r="B17" s="106" t="s">
        <v>239</v>
      </c>
      <c r="C17" s="105"/>
      <c r="D17" s="105"/>
      <c r="E17" s="105"/>
      <c r="F17" s="105"/>
      <c r="G17" s="104"/>
      <c r="H17" s="103">
        <f>+MEDIAN(H9:H15)</f>
        <v>4.3</v>
      </c>
      <c r="I17" s="101"/>
    </row>
    <row r="18" spans="2:9">
      <c r="B18" s="101"/>
      <c r="C18" s="101"/>
      <c r="D18" s="101"/>
      <c r="E18" s="101"/>
      <c r="F18" s="101"/>
      <c r="G18" s="101"/>
      <c r="H18" s="229"/>
      <c r="I18" s="101"/>
    </row>
    <row r="19" spans="2:9">
      <c r="B19" s="101"/>
      <c r="C19" s="101" t="s">
        <v>145</v>
      </c>
      <c r="D19" s="101" t="s">
        <v>146</v>
      </c>
      <c r="E19" s="101"/>
      <c r="F19" s="229">
        <f>G19*H19</f>
        <v>1785.5485714285714</v>
      </c>
      <c r="G19" s="102">
        <v>383.4</v>
      </c>
      <c r="H19" s="102">
        <f>+H16</f>
        <v>4.6571428571428575</v>
      </c>
      <c r="I19" s="101"/>
    </row>
    <row r="20" spans="2:9">
      <c r="B20" s="101"/>
      <c r="C20" s="101"/>
      <c r="D20" s="101" t="s">
        <v>239</v>
      </c>
      <c r="E20" s="101"/>
      <c r="F20" s="229">
        <f>G20*H20</f>
        <v>1648.62</v>
      </c>
      <c r="G20" s="102">
        <f>+G19</f>
        <v>383.4</v>
      </c>
      <c r="H20" s="229">
        <f>+H17</f>
        <v>4.3</v>
      </c>
      <c r="I20" s="101"/>
    </row>
    <row r="27" spans="2:9">
      <c r="D27" s="100"/>
      <c r="E27" s="100"/>
      <c r="F27" s="100"/>
    </row>
  </sheetData>
  <mergeCells count="1">
    <mergeCell ref="B7:D7"/>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
  <sheetViews>
    <sheetView workbookViewId="0"/>
  </sheetViews>
  <sheetFormatPr defaultRowHeight="15"/>
  <sheetData>
    <row r="1" spans="1:62">
      <c r="A1">
        <v>62</v>
      </c>
      <c r="B1" t="s">
        <v>326</v>
      </c>
      <c r="C1" t="s">
        <v>327</v>
      </c>
      <c r="D1" t="s">
        <v>328</v>
      </c>
      <c r="E1" t="s">
        <v>329</v>
      </c>
      <c r="F1" t="s">
        <v>330</v>
      </c>
      <c r="G1" t="s">
        <v>331</v>
      </c>
      <c r="H1" t="s">
        <v>332</v>
      </c>
      <c r="I1" t="s">
        <v>333</v>
      </c>
      <c r="J1" t="s">
        <v>334</v>
      </c>
      <c r="K1" t="s">
        <v>335</v>
      </c>
      <c r="L1" t="s">
        <v>336</v>
      </c>
      <c r="M1" t="s">
        <v>337</v>
      </c>
      <c r="N1" t="s">
        <v>338</v>
      </c>
      <c r="O1" t="s">
        <v>339</v>
      </c>
      <c r="P1" t="s">
        <v>340</v>
      </c>
      <c r="Q1" t="s">
        <v>341</v>
      </c>
      <c r="R1" t="s">
        <v>342</v>
      </c>
      <c r="S1" t="s">
        <v>343</v>
      </c>
      <c r="T1" t="s">
        <v>344</v>
      </c>
      <c r="U1" t="s">
        <v>345</v>
      </c>
      <c r="V1" t="s">
        <v>346</v>
      </c>
      <c r="W1" t="s">
        <v>347</v>
      </c>
      <c r="X1" t="s">
        <v>348</v>
      </c>
      <c r="Y1" t="s">
        <v>349</v>
      </c>
      <c r="Z1" t="s">
        <v>350</v>
      </c>
      <c r="AA1" t="s">
        <v>351</v>
      </c>
      <c r="AB1" t="s">
        <v>352</v>
      </c>
      <c r="AC1" t="s">
        <v>353</v>
      </c>
      <c r="AD1" t="s">
        <v>354</v>
      </c>
      <c r="AE1" t="s">
        <v>355</v>
      </c>
      <c r="AF1" t="s">
        <v>356</v>
      </c>
      <c r="AG1" t="s">
        <v>357</v>
      </c>
      <c r="AH1" t="s">
        <v>358</v>
      </c>
      <c r="AI1" t="s">
        <v>359</v>
      </c>
      <c r="AJ1" t="s">
        <v>360</v>
      </c>
      <c r="AK1" t="s">
        <v>361</v>
      </c>
      <c r="AL1" t="s">
        <v>362</v>
      </c>
      <c r="AM1" t="s">
        <v>363</v>
      </c>
      <c r="AN1" t="s">
        <v>364</v>
      </c>
      <c r="AO1" t="s">
        <v>365</v>
      </c>
      <c r="AP1" t="s">
        <v>366</v>
      </c>
      <c r="AQ1" t="s">
        <v>367</v>
      </c>
      <c r="AR1" t="s">
        <v>368</v>
      </c>
      <c r="AS1" t="s">
        <v>369</v>
      </c>
      <c r="AT1" t="s">
        <v>370</v>
      </c>
      <c r="AU1" t="s">
        <v>371</v>
      </c>
      <c r="AV1" t="s">
        <v>372</v>
      </c>
      <c r="AW1" t="s">
        <v>373</v>
      </c>
      <c r="AX1" t="s">
        <v>374</v>
      </c>
      <c r="AY1" t="s">
        <v>375</v>
      </c>
      <c r="AZ1" t="s">
        <v>376</v>
      </c>
      <c r="BA1" t="s">
        <v>377</v>
      </c>
      <c r="BB1" t="s">
        <v>378</v>
      </c>
      <c r="BC1" t="s">
        <v>379</v>
      </c>
      <c r="BD1" t="s">
        <v>380</v>
      </c>
      <c r="BE1" t="s">
        <v>381</v>
      </c>
      <c r="BF1" t="s">
        <v>382</v>
      </c>
      <c r="BG1" t="s">
        <v>383</v>
      </c>
      <c r="BH1" t="s">
        <v>384</v>
      </c>
      <c r="BI1" t="s">
        <v>385</v>
      </c>
      <c r="BJ1" t="s">
        <v>386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zoomScale="70" zoomScaleNormal="70" workbookViewId="0">
      <pane ySplit="1" topLeftCell="A2" activePane="bottomLeft" state="frozen"/>
      <selection activeCell="C22" sqref="C22"/>
      <selection pane="bottomLeft" activeCell="M4" sqref="M4"/>
    </sheetView>
  </sheetViews>
  <sheetFormatPr defaultRowHeight="15"/>
  <cols>
    <col min="1" max="1" width="12.5703125" bestFit="1" customWidth="1"/>
    <col min="2" max="2" width="12" bestFit="1" customWidth="1"/>
    <col min="7" max="7" width="14.5703125" customWidth="1"/>
    <col min="13" max="13" width="42" customWidth="1"/>
    <col min="14" max="14" width="34.7109375" customWidth="1"/>
    <col min="15" max="15" width="12.28515625" customWidth="1"/>
    <col min="19" max="19" width="12.5703125" bestFit="1" customWidth="1"/>
    <col min="20" max="20" width="11.5703125" bestFit="1" customWidth="1"/>
    <col min="21" max="21" width="11" bestFit="1" customWidth="1"/>
    <col min="22" max="22" width="10.7109375" bestFit="1" customWidth="1"/>
    <col min="23" max="23" width="10.28515625" bestFit="1" customWidth="1"/>
    <col min="25" max="25" width="10" bestFit="1" customWidth="1"/>
    <col min="26" max="26" width="9.5703125" bestFit="1" customWidth="1"/>
    <col min="27" max="27" width="10.28515625" bestFit="1" customWidth="1"/>
  </cols>
  <sheetData>
    <row r="1" spans="1:27" s="141" customFormat="1" ht="90">
      <c r="A1" s="142" t="s">
        <v>231</v>
      </c>
      <c r="B1" s="142" t="s">
        <v>230</v>
      </c>
      <c r="C1" s="142" t="s">
        <v>229</v>
      </c>
      <c r="D1" s="142" t="s">
        <v>228</v>
      </c>
      <c r="E1" s="142" t="s">
        <v>227</v>
      </c>
      <c r="F1" s="142" t="s">
        <v>226</v>
      </c>
      <c r="G1" s="142" t="s">
        <v>221</v>
      </c>
      <c r="H1" s="142" t="s">
        <v>225</v>
      </c>
      <c r="I1" s="142" t="s">
        <v>224</v>
      </c>
      <c r="J1" s="142" t="s">
        <v>223</v>
      </c>
      <c r="K1" s="142" t="s">
        <v>222</v>
      </c>
      <c r="L1" s="142" t="s">
        <v>221</v>
      </c>
      <c r="M1" s="142" t="s">
        <v>220</v>
      </c>
      <c r="N1" s="142" t="s">
        <v>219</v>
      </c>
      <c r="O1" s="142" t="s">
        <v>218</v>
      </c>
      <c r="P1" s="142" t="s">
        <v>217</v>
      </c>
      <c r="Q1" s="142" t="s">
        <v>216</v>
      </c>
      <c r="R1" s="142" t="s">
        <v>215</v>
      </c>
      <c r="S1" s="142" t="s">
        <v>214</v>
      </c>
      <c r="T1" s="142" t="s">
        <v>213</v>
      </c>
      <c r="U1" s="142" t="s">
        <v>212</v>
      </c>
      <c r="V1" s="142" t="s">
        <v>211</v>
      </c>
      <c r="W1" s="142" t="s">
        <v>210</v>
      </c>
      <c r="X1" s="142" t="s">
        <v>209</v>
      </c>
      <c r="Y1" s="142" t="s">
        <v>208</v>
      </c>
      <c r="Z1" s="142" t="s">
        <v>207</v>
      </c>
      <c r="AA1" s="142" t="s">
        <v>206</v>
      </c>
    </row>
    <row r="2" spans="1:27" s="134" customFormat="1" ht="240">
      <c r="A2" s="139">
        <f>DATE(2008,5,15)</f>
        <v>39583</v>
      </c>
      <c r="B2" s="139">
        <f>DATE(2008,6,30)</f>
        <v>39629</v>
      </c>
      <c r="C2" s="131" t="s">
        <v>205</v>
      </c>
      <c r="D2" s="131" t="s">
        <v>204</v>
      </c>
      <c r="E2" s="138">
        <v>3571</v>
      </c>
      <c r="F2" s="131" t="s">
        <v>203</v>
      </c>
      <c r="G2" s="131" t="s">
        <v>202</v>
      </c>
      <c r="H2" s="131" t="s">
        <v>201</v>
      </c>
      <c r="I2" s="131" t="s">
        <v>200</v>
      </c>
      <c r="J2" s="140" t="s">
        <v>177</v>
      </c>
      <c r="K2" s="138">
        <v>4841</v>
      </c>
      <c r="L2" s="131" t="s">
        <v>199</v>
      </c>
      <c r="M2" s="131" t="s">
        <v>198</v>
      </c>
      <c r="N2" s="131" t="s">
        <v>197</v>
      </c>
      <c r="O2" s="131" t="s">
        <v>173</v>
      </c>
      <c r="P2" s="130">
        <v>100</v>
      </c>
      <c r="Q2" s="129">
        <v>100</v>
      </c>
      <c r="R2" s="129">
        <v>100</v>
      </c>
      <c r="S2" s="126">
        <v>1808.19</v>
      </c>
      <c r="T2" s="137">
        <v>1761.9269999999999</v>
      </c>
      <c r="U2" s="135">
        <v>1808.0840000000001</v>
      </c>
      <c r="V2" s="135">
        <v>405.21800000000002</v>
      </c>
      <c r="W2" s="135">
        <v>11.486000000000001</v>
      </c>
      <c r="X2" s="129">
        <v>199.3</v>
      </c>
      <c r="Y2" s="135">
        <v>51.334000000000003</v>
      </c>
      <c r="Z2" s="127">
        <f>T2/V2</f>
        <v>4.3480965801124327</v>
      </c>
      <c r="AA2" s="127">
        <f>T2/Y2</f>
        <v>34.32280749600654</v>
      </c>
    </row>
    <row r="3" spans="1:27" s="134" customFormat="1" ht="135">
      <c r="A3" s="139">
        <f>DATE(2008,1,31)</f>
        <v>39478</v>
      </c>
      <c r="B3" s="139">
        <f>DATE(2008,3,17)</f>
        <v>39524</v>
      </c>
      <c r="C3" s="131" t="s">
        <v>149</v>
      </c>
      <c r="D3" s="131" t="s">
        <v>196</v>
      </c>
      <c r="E3" s="138">
        <v>7375</v>
      </c>
      <c r="F3" s="131" t="s">
        <v>195</v>
      </c>
      <c r="G3" s="131" t="s">
        <v>194</v>
      </c>
      <c r="H3" s="131" t="s">
        <v>193</v>
      </c>
      <c r="I3" s="131" t="s">
        <v>192</v>
      </c>
      <c r="J3" s="131" t="s">
        <v>191</v>
      </c>
      <c r="K3" s="138">
        <v>5961</v>
      </c>
      <c r="L3" s="131" t="s">
        <v>190</v>
      </c>
      <c r="M3" s="131" t="s">
        <v>189</v>
      </c>
      <c r="N3" s="131" t="s">
        <v>188</v>
      </c>
      <c r="O3" s="131" t="s">
        <v>173</v>
      </c>
      <c r="P3" s="130">
        <v>88.08</v>
      </c>
      <c r="Q3" s="129">
        <v>88.1</v>
      </c>
      <c r="R3" s="129">
        <v>100</v>
      </c>
      <c r="S3" s="130">
        <v>247.25</v>
      </c>
      <c r="T3" s="135">
        <v>198.691</v>
      </c>
      <c r="U3" s="135">
        <v>279.52800000000002</v>
      </c>
      <c r="V3" s="135">
        <v>109.968</v>
      </c>
      <c r="W3" s="135">
        <v>-3.5579999999999998</v>
      </c>
      <c r="X3" s="129">
        <v>2.4</v>
      </c>
      <c r="Y3" s="135">
        <v>2.3130000000000002</v>
      </c>
      <c r="Z3" s="127">
        <f>T3/V3</f>
        <v>1.8068074348901497</v>
      </c>
      <c r="AA3" s="127">
        <f>T3/Y3</f>
        <v>85.901859057501071</v>
      </c>
    </row>
    <row r="4" spans="1:27" s="134" customFormat="1" ht="270">
      <c r="A4" s="139">
        <f>DATE(2007,2,19)</f>
        <v>39132</v>
      </c>
      <c r="B4" s="139">
        <f>DATE(2008,7,29)</f>
        <v>39658</v>
      </c>
      <c r="C4" s="131" t="s">
        <v>187</v>
      </c>
      <c r="E4" s="138">
        <v>4832</v>
      </c>
      <c r="F4" s="131" t="s">
        <v>177</v>
      </c>
      <c r="G4" s="131" t="s">
        <v>186</v>
      </c>
      <c r="H4" s="131" t="s">
        <v>187</v>
      </c>
      <c r="J4" s="131" t="s">
        <v>177</v>
      </c>
      <c r="K4" s="138">
        <v>4832</v>
      </c>
      <c r="L4" s="131" t="s">
        <v>186</v>
      </c>
      <c r="M4" s="131" t="s">
        <v>185</v>
      </c>
      <c r="N4" s="131" t="s">
        <v>184</v>
      </c>
      <c r="O4" s="131" t="s">
        <v>173</v>
      </c>
      <c r="P4" s="130">
        <v>100</v>
      </c>
      <c r="Q4" s="129">
        <v>100</v>
      </c>
      <c r="R4" s="129">
        <v>100</v>
      </c>
      <c r="S4" s="137">
        <v>6226.0439999999999</v>
      </c>
      <c r="T4" s="137">
        <v>6393.6570000000002</v>
      </c>
      <c r="U4" s="135">
        <v>5259.8789999999999</v>
      </c>
      <c r="V4" s="135">
        <v>933.41700000000003</v>
      </c>
      <c r="W4" s="135">
        <v>-403.09800000000001</v>
      </c>
      <c r="X4" s="129">
        <v>-718.9</v>
      </c>
      <c r="Y4" s="135">
        <v>-234.21799999999999</v>
      </c>
      <c r="Z4" s="127">
        <f>T4/V4</f>
        <v>6.8497327560993639</v>
      </c>
      <c r="AA4" s="127">
        <f>T4/Y4</f>
        <v>-27.297889146009275</v>
      </c>
    </row>
    <row r="5" spans="1:27" s="134" customFormat="1" ht="240">
      <c r="A5" s="139">
        <f>DATE(2010,12,17)</f>
        <v>40529</v>
      </c>
      <c r="B5" s="139">
        <f>DATE(2011,9,16)</f>
        <v>40802</v>
      </c>
      <c r="C5" s="131" t="s">
        <v>180</v>
      </c>
      <c r="E5" s="138">
        <v>4832</v>
      </c>
      <c r="F5" s="131" t="s">
        <v>177</v>
      </c>
      <c r="G5" s="131" t="s">
        <v>183</v>
      </c>
      <c r="H5" s="131" t="s">
        <v>180</v>
      </c>
      <c r="I5" s="131" t="s">
        <v>177</v>
      </c>
      <c r="K5" s="138">
        <v>4832</v>
      </c>
      <c r="L5" s="131" t="s">
        <v>179</v>
      </c>
      <c r="M5" s="131" t="s">
        <v>182</v>
      </c>
      <c r="N5" s="131" t="s">
        <v>181</v>
      </c>
      <c r="O5" s="131" t="s">
        <v>173</v>
      </c>
      <c r="P5" s="130">
        <v>100</v>
      </c>
      <c r="Q5" s="129">
        <v>100</v>
      </c>
      <c r="R5" s="129">
        <v>100</v>
      </c>
      <c r="S5" s="137">
        <v>2106.0709999999999</v>
      </c>
      <c r="T5" s="137">
        <v>11333.475</v>
      </c>
      <c r="U5" s="135">
        <v>10661.249</v>
      </c>
      <c r="V5" s="135">
        <v>729.75699999999995</v>
      </c>
      <c r="W5" s="135">
        <v>179.69200000000001</v>
      </c>
      <c r="X5" s="129">
        <v>-766.6</v>
      </c>
      <c r="Y5" s="135">
        <v>211.886</v>
      </c>
      <c r="Z5" s="127">
        <f>T5/V5</f>
        <v>15.53047795362018</v>
      </c>
      <c r="AA5" s="127">
        <f>T5/Y5</f>
        <v>53.488550446938454</v>
      </c>
    </row>
    <row r="6" spans="1:27" s="134" customFormat="1" ht="225">
      <c r="A6" s="139">
        <f>DATE(2009,2,17)</f>
        <v>39861</v>
      </c>
      <c r="B6" s="139">
        <f>DATE(2009,3,6)</f>
        <v>39878</v>
      </c>
      <c r="C6" s="131" t="s">
        <v>180</v>
      </c>
      <c r="D6" s="131"/>
      <c r="E6" s="138">
        <v>4832</v>
      </c>
      <c r="F6" s="131" t="s">
        <v>177</v>
      </c>
      <c r="G6" s="131" t="s">
        <v>179</v>
      </c>
      <c r="H6" s="131" t="s">
        <v>178</v>
      </c>
      <c r="I6" s="131" t="s">
        <v>177</v>
      </c>
      <c r="J6" s="131"/>
      <c r="K6" s="138">
        <v>4841</v>
      </c>
      <c r="L6" s="131" t="s">
        <v>176</v>
      </c>
      <c r="M6" s="131" t="s">
        <v>175</v>
      </c>
      <c r="N6" s="131" t="s">
        <v>174</v>
      </c>
      <c r="O6" s="131" t="s">
        <v>173</v>
      </c>
      <c r="P6" s="130">
        <v>40</v>
      </c>
      <c r="Q6" s="129">
        <v>40</v>
      </c>
      <c r="R6" s="129">
        <v>40</v>
      </c>
      <c r="S6" s="130">
        <v>100</v>
      </c>
      <c r="T6" s="131" t="s">
        <v>172</v>
      </c>
      <c r="U6" s="131" t="s">
        <v>172</v>
      </c>
      <c r="V6" s="137">
        <v>1663.992</v>
      </c>
      <c r="W6" s="135">
        <v>-232.625</v>
      </c>
      <c r="X6" s="136">
        <v>-5313.3</v>
      </c>
      <c r="Y6" s="135">
        <v>-28.873000000000001</v>
      </c>
      <c r="Z6" s="127"/>
      <c r="AA6" s="127"/>
    </row>
    <row r="7" spans="1:27">
      <c r="A7" s="133">
        <v>39706</v>
      </c>
      <c r="B7" s="133">
        <v>39746</v>
      </c>
      <c r="C7" t="s">
        <v>171</v>
      </c>
      <c r="H7" t="s">
        <v>170</v>
      </c>
      <c r="P7">
        <v>100</v>
      </c>
      <c r="Q7">
        <v>100</v>
      </c>
      <c r="R7">
        <v>100</v>
      </c>
      <c r="S7">
        <v>136.99</v>
      </c>
      <c r="T7">
        <v>69.37</v>
      </c>
      <c r="U7">
        <v>136.99</v>
      </c>
      <c r="V7">
        <v>125.52</v>
      </c>
      <c r="W7">
        <v>-18.100000000000001</v>
      </c>
      <c r="X7">
        <v>-16.59</v>
      </c>
      <c r="Y7">
        <v>-12.34</v>
      </c>
      <c r="Z7" s="127">
        <f>T7/V7</f>
        <v>0.55266093052899945</v>
      </c>
      <c r="AA7" s="127">
        <f>T7/Y7</f>
        <v>-5.621555915721232</v>
      </c>
    </row>
    <row r="8" spans="1:27">
      <c r="A8" s="133">
        <v>40673</v>
      </c>
      <c r="B8" s="133">
        <v>40829</v>
      </c>
      <c r="C8" t="s">
        <v>159</v>
      </c>
      <c r="H8" t="s">
        <v>169</v>
      </c>
      <c r="P8">
        <v>100</v>
      </c>
      <c r="Q8">
        <v>100</v>
      </c>
      <c r="R8">
        <v>100</v>
      </c>
      <c r="S8" s="132">
        <v>9224.86</v>
      </c>
      <c r="T8" s="132">
        <v>9082.4</v>
      </c>
      <c r="U8" s="128">
        <v>8500</v>
      </c>
      <c r="V8">
        <v>859.82</v>
      </c>
      <c r="W8">
        <v>31.58</v>
      </c>
      <c r="X8">
        <v>-6.9</v>
      </c>
      <c r="Y8">
        <v>192.88</v>
      </c>
      <c r="Z8" s="127">
        <f>T8/V8</f>
        <v>10.563141122560534</v>
      </c>
      <c r="AA8" s="127">
        <f>T8/Y8</f>
        <v>47.088345085026958</v>
      </c>
    </row>
    <row r="9" spans="1:27" ht="45">
      <c r="C9" s="131" t="s">
        <v>168</v>
      </c>
      <c r="H9" s="131" t="s">
        <v>167</v>
      </c>
      <c r="P9" s="130">
        <v>10</v>
      </c>
      <c r="Q9" s="129">
        <v>10</v>
      </c>
      <c r="S9">
        <v>200</v>
      </c>
      <c r="T9" s="128">
        <v>2000</v>
      </c>
      <c r="V9">
        <v>420</v>
      </c>
      <c r="Z9" s="127">
        <f>T9/V9</f>
        <v>4.7619047619047619</v>
      </c>
      <c r="AA9" s="127"/>
    </row>
    <row r="12" spans="1:27">
      <c r="Z12" s="125">
        <f>AVERAGE(Z2:Z9)</f>
        <v>6.3446887913880596</v>
      </c>
      <c r="AA12" s="125">
        <f>AVERAGE(AA2:AA9)</f>
        <v>31.31368617062375</v>
      </c>
    </row>
    <row r="16" spans="1:27">
      <c r="Z16">
        <f>274.4
*Z12</f>
        <v>1740.9826043568835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71"/>
  <sheetViews>
    <sheetView showGridLines="0" view="pageBreakPreview" topLeftCell="A14" zoomScaleNormal="100" zoomScaleSheetLayoutView="100" workbookViewId="0">
      <selection activeCell="S16" sqref="S16"/>
    </sheetView>
  </sheetViews>
  <sheetFormatPr defaultRowHeight="12.75" outlineLevelRow="1" outlineLevelCol="1"/>
  <cols>
    <col min="1" max="1" width="9.140625" style="1" bestFit="1" customWidth="1"/>
    <col min="2" max="2" width="30.42578125" style="1" bestFit="1" customWidth="1"/>
    <col min="3" max="7" width="10.7109375" style="1" customWidth="1"/>
    <col min="8" max="8" width="10.7109375" style="1" hidden="1" customWidth="1" outlineLevel="1"/>
    <col min="9" max="9" width="10.7109375" style="1" customWidth="1" collapsed="1"/>
    <col min="10" max="12" width="10.7109375" style="1" customWidth="1"/>
    <col min="13" max="13" width="10.7109375" style="1" hidden="1" customWidth="1" outlineLevel="1"/>
    <col min="14" max="14" width="10.7109375" style="1" customWidth="1" collapsed="1"/>
    <col min="15" max="15" width="10.7109375" style="1" customWidth="1"/>
    <col min="16" max="17" width="11.7109375" style="1" hidden="1" customWidth="1" outlineLevel="1"/>
    <col min="18" max="18" width="11.7109375" style="1" customWidth="1" collapsed="1"/>
    <col min="19" max="16384" width="9.140625" style="1"/>
  </cols>
  <sheetData>
    <row r="1" spans="1:115" s="201" customFormat="1">
      <c r="A1" s="207">
        <f ca="1">TODAY()</f>
        <v>41255</v>
      </c>
      <c r="B1" s="202"/>
      <c r="C1" s="202"/>
      <c r="D1" s="202"/>
      <c r="E1" s="202"/>
      <c r="F1" s="206" t="s">
        <v>298</v>
      </c>
      <c r="G1" s="205"/>
      <c r="H1" s="204"/>
      <c r="I1" s="204"/>
      <c r="J1" s="203"/>
      <c r="K1" s="206" t="s">
        <v>297</v>
      </c>
      <c r="L1" s="205"/>
      <c r="M1" s="204"/>
      <c r="N1" s="204"/>
      <c r="O1" s="203"/>
      <c r="P1" s="202"/>
      <c r="Q1" s="202"/>
      <c r="R1" s="20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row>
    <row r="2" spans="1:115" s="200" customFormat="1" ht="38.25">
      <c r="A2" s="200" t="s">
        <v>296</v>
      </c>
      <c r="B2" s="200" t="s">
        <v>295</v>
      </c>
      <c r="C2" s="200" t="s">
        <v>294</v>
      </c>
      <c r="D2" s="200" t="s">
        <v>293</v>
      </c>
      <c r="E2" s="200" t="s">
        <v>117</v>
      </c>
      <c r="F2" s="200" t="s">
        <v>162</v>
      </c>
      <c r="G2" s="200" t="s">
        <v>292</v>
      </c>
      <c r="H2" s="200" t="s">
        <v>291</v>
      </c>
      <c r="I2" s="200" t="s">
        <v>290</v>
      </c>
      <c r="J2" s="200" t="s">
        <v>289</v>
      </c>
      <c r="K2" s="200" t="s">
        <v>162</v>
      </c>
      <c r="L2" s="200" t="s">
        <v>292</v>
      </c>
      <c r="M2" s="200" t="s">
        <v>291</v>
      </c>
      <c r="N2" s="200" t="s">
        <v>290</v>
      </c>
      <c r="O2" s="200" t="s">
        <v>289</v>
      </c>
      <c r="P2" s="200" t="s">
        <v>288</v>
      </c>
      <c r="Q2" s="200" t="s">
        <v>287</v>
      </c>
      <c r="R2" s="200" t="s">
        <v>286</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row>
    <row r="3" spans="1:115">
      <c r="B3" s="199" t="s">
        <v>36</v>
      </c>
      <c r="C3" s="199"/>
    </row>
    <row r="4" spans="1:115">
      <c r="B4" s="199"/>
      <c r="C4" s="199"/>
    </row>
    <row r="5" spans="1:115">
      <c r="B5" s="197" t="s">
        <v>242</v>
      </c>
      <c r="C5" s="199"/>
    </row>
    <row r="6" spans="1:115">
      <c r="A6" s="1" t="s">
        <v>285</v>
      </c>
      <c r="B6" s="42" t="s">
        <v>284</v>
      </c>
      <c r="C6" s="144">
        <v>86.083699999999993</v>
      </c>
      <c r="D6" s="198">
        <v>4781.5648300000003</v>
      </c>
      <c r="E6" s="198">
        <v>4383.2098299999998</v>
      </c>
      <c r="F6" s="198">
        <v>3539.6179999999999</v>
      </c>
      <c r="G6" s="198">
        <v>146.55799999999999</v>
      </c>
      <c r="H6" s="198">
        <v>101.226</v>
      </c>
      <c r="I6" s="198">
        <v>3951.1997000000001</v>
      </c>
      <c r="J6" s="198">
        <v>155.79939999999999</v>
      </c>
      <c r="K6" s="196">
        <v>1.2383284947697746</v>
      </c>
      <c r="L6" s="196">
        <v>29.907680440508194</v>
      </c>
      <c r="M6" s="196">
        <v>43.301225278090605</v>
      </c>
      <c r="N6" s="196">
        <v>1.1093364453332997</v>
      </c>
      <c r="O6" s="196">
        <v>28.13367593199974</v>
      </c>
      <c r="P6" s="198">
        <v>400</v>
      </c>
      <c r="Q6" s="198">
        <v>1116.8399999999999</v>
      </c>
      <c r="R6" s="195">
        <v>0.35815336126929553</v>
      </c>
    </row>
    <row r="7" spans="1:115">
      <c r="A7" s="1" t="s">
        <v>283</v>
      </c>
      <c r="B7" s="42" t="s">
        <v>150</v>
      </c>
      <c r="C7" s="144">
        <v>250.69</v>
      </c>
      <c r="D7" s="196">
        <v>113552.29171</v>
      </c>
      <c r="E7" s="196">
        <v>108304.29171</v>
      </c>
      <c r="F7" s="196">
        <v>57256</v>
      </c>
      <c r="G7" s="196">
        <v>2089</v>
      </c>
      <c r="H7" s="196">
        <v>531</v>
      </c>
      <c r="I7" s="196">
        <v>73291.243499999997</v>
      </c>
      <c r="J7" s="196">
        <v>4023.5155</v>
      </c>
      <c r="K7" s="196">
        <v>1.8915797769666063</v>
      </c>
      <c r="L7" s="196">
        <v>51.845041507898522</v>
      </c>
      <c r="M7" s="196">
        <v>203.96288457627119</v>
      </c>
      <c r="N7" s="196">
        <v>1.4777248486717245</v>
      </c>
      <c r="O7" s="196">
        <v>26.917826390876339</v>
      </c>
      <c r="P7" s="196">
        <v>0</v>
      </c>
      <c r="Q7" s="196">
        <v>7553</v>
      </c>
      <c r="R7" s="195">
        <v>0</v>
      </c>
    </row>
    <row r="8" spans="1:115">
      <c r="B8" s="42"/>
      <c r="C8" s="144"/>
      <c r="D8" s="196"/>
      <c r="E8" s="196"/>
      <c r="F8" s="196"/>
      <c r="G8" s="196"/>
      <c r="H8" s="196"/>
      <c r="I8" s="196"/>
      <c r="J8" s="196"/>
      <c r="K8" s="196"/>
      <c r="L8" s="196"/>
      <c r="M8" s="196"/>
      <c r="N8" s="196"/>
      <c r="O8" s="196"/>
      <c r="P8" s="196"/>
      <c r="Q8" s="196"/>
      <c r="R8" s="195"/>
    </row>
    <row r="9" spans="1:115" hidden="1" outlineLevel="1">
      <c r="B9" s="42"/>
      <c r="C9" s="144"/>
      <c r="D9" s="196"/>
      <c r="E9" s="196"/>
      <c r="F9" s="190" t="s">
        <v>140</v>
      </c>
      <c r="G9" s="189"/>
      <c r="H9" s="188"/>
      <c r="I9" s="188"/>
      <c r="J9" s="189"/>
      <c r="K9" s="188">
        <f t="shared" ref="K9:R9" si="0">MAX(K6:K7)</f>
        <v>1.8915797769666063</v>
      </c>
      <c r="L9" s="188">
        <f t="shared" si="0"/>
        <v>51.845041507898522</v>
      </c>
      <c r="M9" s="188">
        <f t="shared" si="0"/>
        <v>203.96288457627119</v>
      </c>
      <c r="N9" s="188">
        <f t="shared" si="0"/>
        <v>1.4777248486717245</v>
      </c>
      <c r="O9" s="188">
        <f t="shared" si="0"/>
        <v>28.13367593199974</v>
      </c>
      <c r="P9" s="188">
        <f t="shared" si="0"/>
        <v>400</v>
      </c>
      <c r="Q9" s="188">
        <f t="shared" si="0"/>
        <v>7553</v>
      </c>
      <c r="R9" s="187">
        <f t="shared" si="0"/>
        <v>0.35815336126929553</v>
      </c>
    </row>
    <row r="10" spans="1:115" hidden="1" outlineLevel="1">
      <c r="B10" s="42"/>
      <c r="C10" s="144"/>
      <c r="D10" s="196"/>
      <c r="E10" s="196"/>
      <c r="F10" s="185" t="s">
        <v>146</v>
      </c>
      <c r="G10" s="183"/>
      <c r="H10" s="182"/>
      <c r="I10" s="182"/>
      <c r="J10" s="183"/>
      <c r="K10" s="182">
        <f t="shared" ref="K10:R10" si="1">AVERAGE(K6:K7)</f>
        <v>1.5649541358681904</v>
      </c>
      <c r="L10" s="182">
        <f t="shared" si="1"/>
        <v>40.876360974203358</v>
      </c>
      <c r="M10" s="182">
        <f t="shared" si="1"/>
        <v>123.6320549271809</v>
      </c>
      <c r="N10" s="182">
        <f t="shared" si="1"/>
        <v>1.2935306470025121</v>
      </c>
      <c r="O10" s="182">
        <f t="shared" si="1"/>
        <v>27.525751161438038</v>
      </c>
      <c r="P10" s="182">
        <f t="shared" si="1"/>
        <v>200</v>
      </c>
      <c r="Q10" s="182">
        <f t="shared" si="1"/>
        <v>4334.92</v>
      </c>
      <c r="R10" s="181">
        <f t="shared" si="1"/>
        <v>0.17907668063464777</v>
      </c>
    </row>
    <row r="11" spans="1:115" hidden="1" outlineLevel="1">
      <c r="B11" s="42"/>
      <c r="C11" s="144"/>
      <c r="D11" s="196"/>
      <c r="E11" s="196"/>
      <c r="F11" s="184" t="s">
        <v>239</v>
      </c>
      <c r="G11" s="183"/>
      <c r="H11" s="183"/>
      <c r="I11" s="183"/>
      <c r="J11" s="183"/>
      <c r="K11" s="182">
        <f t="shared" ref="K11:R11" si="2">MEDIAN(K6:K7)</f>
        <v>1.5649541358681904</v>
      </c>
      <c r="L11" s="182">
        <f t="shared" si="2"/>
        <v>40.876360974203358</v>
      </c>
      <c r="M11" s="182">
        <f t="shared" si="2"/>
        <v>123.63205492718089</v>
      </c>
      <c r="N11" s="182">
        <f t="shared" si="2"/>
        <v>1.2935306470025121</v>
      </c>
      <c r="O11" s="182">
        <f t="shared" si="2"/>
        <v>27.525751161438038</v>
      </c>
      <c r="P11" s="182">
        <f t="shared" si="2"/>
        <v>200</v>
      </c>
      <c r="Q11" s="182">
        <f t="shared" si="2"/>
        <v>4334.92</v>
      </c>
      <c r="R11" s="181">
        <f t="shared" si="2"/>
        <v>0.17907668063464777</v>
      </c>
    </row>
    <row r="12" spans="1:115" hidden="1" outlineLevel="1">
      <c r="B12" s="42"/>
      <c r="C12" s="144"/>
      <c r="D12" s="196"/>
      <c r="E12" s="196"/>
      <c r="F12" s="179" t="s">
        <v>141</v>
      </c>
      <c r="G12" s="178"/>
      <c r="H12" s="177"/>
      <c r="I12" s="177"/>
      <c r="J12" s="178"/>
      <c r="K12" s="177">
        <f t="shared" ref="K12:R12" si="3">MIN(K6:K7)</f>
        <v>1.2383284947697746</v>
      </c>
      <c r="L12" s="177">
        <f t="shared" si="3"/>
        <v>29.907680440508194</v>
      </c>
      <c r="M12" s="177">
        <f t="shared" si="3"/>
        <v>43.301225278090605</v>
      </c>
      <c r="N12" s="177">
        <f t="shared" si="3"/>
        <v>1.1093364453332997</v>
      </c>
      <c r="O12" s="177">
        <f t="shared" si="3"/>
        <v>26.917826390876339</v>
      </c>
      <c r="P12" s="177">
        <f t="shared" si="3"/>
        <v>0</v>
      </c>
      <c r="Q12" s="177">
        <f t="shared" si="3"/>
        <v>1116.8399999999999</v>
      </c>
      <c r="R12" s="176">
        <f t="shared" si="3"/>
        <v>0</v>
      </c>
    </row>
    <row r="13" spans="1:115" hidden="1" outlineLevel="1">
      <c r="B13" s="42"/>
      <c r="C13" s="144"/>
      <c r="D13" s="196"/>
      <c r="E13" s="196"/>
      <c r="F13" s="182"/>
      <c r="G13" s="183"/>
      <c r="H13" s="182"/>
      <c r="I13" s="182"/>
      <c r="J13" s="183"/>
      <c r="K13" s="182"/>
      <c r="L13" s="182"/>
      <c r="M13" s="182"/>
      <c r="N13" s="182"/>
      <c r="O13" s="182"/>
      <c r="P13" s="182"/>
      <c r="Q13" s="182"/>
      <c r="R13" s="182"/>
    </row>
    <row r="14" spans="1:115" collapsed="1">
      <c r="B14" s="197" t="s">
        <v>241</v>
      </c>
      <c r="C14" s="144"/>
      <c r="D14" s="196"/>
      <c r="E14" s="196"/>
      <c r="F14" s="196"/>
      <c r="G14" s="196"/>
      <c r="H14" s="196"/>
      <c r="I14" s="196"/>
      <c r="J14" s="196"/>
      <c r="K14" s="196"/>
      <c r="L14" s="196"/>
      <c r="M14" s="196"/>
      <c r="N14" s="196"/>
      <c r="O14" s="196"/>
      <c r="P14" s="196"/>
      <c r="Q14" s="198"/>
      <c r="R14" s="195"/>
    </row>
    <row r="15" spans="1:115">
      <c r="A15" s="1" t="s">
        <v>282</v>
      </c>
      <c r="B15" s="42" t="s">
        <v>281</v>
      </c>
      <c r="C15" s="144">
        <v>2.73</v>
      </c>
      <c r="D15" s="196">
        <v>14215.50858</v>
      </c>
      <c r="E15" s="196">
        <v>16093.997579999999</v>
      </c>
      <c r="F15" s="196">
        <v>3293.3629999999998</v>
      </c>
      <c r="G15" s="196">
        <v>1079.9000000000001</v>
      </c>
      <c r="H15" s="196">
        <v>813.404</v>
      </c>
      <c r="I15" s="196">
        <v>3720.4508999999998</v>
      </c>
      <c r="J15" s="196">
        <v>1099.9599000000001</v>
      </c>
      <c r="K15" s="196">
        <v>4.8867973496999877</v>
      </c>
      <c r="L15" s="196">
        <v>14.9032295397722</v>
      </c>
      <c r="M15" s="196">
        <v>19.785982832639132</v>
      </c>
      <c r="N15" s="196">
        <v>4.3258191043456584</v>
      </c>
      <c r="O15" s="196">
        <v>14.631440273413602</v>
      </c>
      <c r="P15" s="196">
        <v>2434.7530000000002</v>
      </c>
      <c r="Q15" s="196">
        <v>6590.9279999999999</v>
      </c>
      <c r="R15" s="195">
        <v>0.36940974017619371</v>
      </c>
    </row>
    <row r="16" spans="1:115">
      <c r="A16" s="1" t="s">
        <v>280</v>
      </c>
      <c r="B16" s="42" t="s">
        <v>279</v>
      </c>
      <c r="C16" s="144">
        <v>6.78</v>
      </c>
      <c r="D16" s="196">
        <v>249.16665</v>
      </c>
      <c r="E16" s="196">
        <v>842.05864999999994</v>
      </c>
      <c r="F16" s="196">
        <v>381.96600000000001</v>
      </c>
      <c r="G16" s="196">
        <v>104.239</v>
      </c>
      <c r="H16" s="196">
        <v>94.013999999999996</v>
      </c>
      <c r="I16" s="196">
        <v>391.79</v>
      </c>
      <c r="J16" s="196">
        <v>114.41800000000001</v>
      </c>
      <c r="K16" s="196">
        <v>2.2045382311514636</v>
      </c>
      <c r="L16" s="196">
        <v>8.0781535701608789</v>
      </c>
      <c r="M16" s="196">
        <v>8.9567367626098235</v>
      </c>
      <c r="N16" s="196">
        <v>2.1492601904081265</v>
      </c>
      <c r="O16" s="196">
        <v>7.3594945725322933</v>
      </c>
      <c r="P16" s="196">
        <v>599.495</v>
      </c>
      <c r="Q16" s="196">
        <v>858.14300000000003</v>
      </c>
      <c r="R16" s="195">
        <v>0.69859568859735499</v>
      </c>
    </row>
    <row r="17" spans="1:18">
      <c r="A17" s="1" t="s">
        <v>278</v>
      </c>
      <c r="B17" s="42" t="s">
        <v>277</v>
      </c>
      <c r="C17" s="144">
        <v>46.42</v>
      </c>
      <c r="D17" s="196">
        <v>197.28077999999999</v>
      </c>
      <c r="E17" s="196">
        <v>241.98478</v>
      </c>
      <c r="F17" s="196">
        <v>128.97399999999999</v>
      </c>
      <c r="G17" s="196">
        <v>36.801000000000002</v>
      </c>
      <c r="H17" s="196">
        <v>29.468</v>
      </c>
      <c r="I17" s="196">
        <v>130.25</v>
      </c>
      <c r="J17" s="196">
        <v>38.607999999999997</v>
      </c>
      <c r="K17" s="196">
        <v>1.8762291624668539</v>
      </c>
      <c r="L17" s="196">
        <v>6.5754946876443574</v>
      </c>
      <c r="M17" s="196">
        <v>8.2117815935930505</v>
      </c>
      <c r="N17" s="196">
        <v>1.8578485988483686</v>
      </c>
      <c r="O17" s="196">
        <v>6.2677367384997931</v>
      </c>
      <c r="P17" s="196">
        <v>58.828000000000003</v>
      </c>
      <c r="Q17" s="196">
        <v>163.99600000000001</v>
      </c>
      <c r="R17" s="195">
        <v>0.35871606624551816</v>
      </c>
    </row>
    <row r="18" spans="1:18">
      <c r="A18" s="1" t="s">
        <v>276</v>
      </c>
      <c r="B18" s="42" t="s">
        <v>275</v>
      </c>
      <c r="C18" s="144">
        <v>25.28</v>
      </c>
      <c r="D18" s="196">
        <v>224.38527999999999</v>
      </c>
      <c r="E18" s="196">
        <v>120.53728</v>
      </c>
      <c r="F18" s="196">
        <v>162.46299999999999</v>
      </c>
      <c r="G18" s="196">
        <v>25.695</v>
      </c>
      <c r="H18" s="196">
        <v>18.917000000000002</v>
      </c>
      <c r="I18" s="196">
        <v>165.61199999999999</v>
      </c>
      <c r="J18" s="196">
        <v>25.074999999999999</v>
      </c>
      <c r="K18" s="196">
        <v>0.74193681022755953</v>
      </c>
      <c r="L18" s="196">
        <v>4.6910791982876043</v>
      </c>
      <c r="M18" s="196">
        <v>6.37190252154147</v>
      </c>
      <c r="N18" s="196">
        <v>0.72782938434412969</v>
      </c>
      <c r="O18" s="196">
        <v>4.8070699900299099</v>
      </c>
      <c r="P18" s="196">
        <v>0</v>
      </c>
      <c r="Q18" s="196">
        <v>118.461</v>
      </c>
      <c r="R18" s="195">
        <v>0</v>
      </c>
    </row>
    <row r="19" spans="1:18">
      <c r="A19" s="1" t="s">
        <v>274</v>
      </c>
      <c r="B19" s="42" t="s">
        <v>273</v>
      </c>
      <c r="C19" s="144">
        <v>10.27</v>
      </c>
      <c r="D19" s="196">
        <v>298.64870999999999</v>
      </c>
      <c r="E19" s="196">
        <v>901.66070999999999</v>
      </c>
      <c r="F19" s="196">
        <v>348.66</v>
      </c>
      <c r="G19" s="196">
        <v>128.78899999999999</v>
      </c>
      <c r="H19" s="196">
        <v>83.474999999999994</v>
      </c>
      <c r="I19" s="196">
        <v>376.9</v>
      </c>
      <c r="J19" s="196">
        <v>143.6</v>
      </c>
      <c r="K19" s="196">
        <v>2.5860744278093271</v>
      </c>
      <c r="L19" s="196">
        <v>7.001069268338135</v>
      </c>
      <c r="M19" s="196">
        <v>10.801565858041331</v>
      </c>
      <c r="N19" s="196">
        <v>2.3923075351552137</v>
      </c>
      <c r="O19" s="196">
        <v>6.2789743036211698</v>
      </c>
      <c r="P19" s="196">
        <v>615.24800000000005</v>
      </c>
      <c r="Q19" s="196">
        <v>454.971</v>
      </c>
      <c r="R19" s="195">
        <v>1.3522795958423726</v>
      </c>
    </row>
    <row r="20" spans="1:18">
      <c r="A20" s="1" t="s">
        <v>272</v>
      </c>
      <c r="B20" s="42" t="s">
        <v>271</v>
      </c>
      <c r="C20" s="144">
        <v>7.33</v>
      </c>
      <c r="D20" s="196">
        <v>412.6721</v>
      </c>
      <c r="E20" s="196">
        <v>964.09910000000002</v>
      </c>
      <c r="F20" s="196">
        <v>468.79700000000003</v>
      </c>
      <c r="G20" s="196">
        <v>159.083</v>
      </c>
      <c r="H20" s="196">
        <v>129.876</v>
      </c>
      <c r="I20" s="196">
        <v>552.13</v>
      </c>
      <c r="J20" s="196">
        <v>210.63050000000001</v>
      </c>
      <c r="K20" s="196">
        <v>2.0565385444019477</v>
      </c>
      <c r="L20" s="196">
        <v>6.0603527718235135</v>
      </c>
      <c r="M20" s="196">
        <v>7.423227540115187</v>
      </c>
      <c r="N20" s="196">
        <v>1.7461451107529025</v>
      </c>
      <c r="O20" s="196">
        <v>4.5772055803884051</v>
      </c>
      <c r="P20" s="196">
        <v>580.92999999999995</v>
      </c>
      <c r="Q20" s="196">
        <v>545.952</v>
      </c>
      <c r="R20" s="195">
        <v>1.0640679034054275</v>
      </c>
    </row>
    <row r="21" spans="1:18">
      <c r="A21" s="1" t="s">
        <v>270</v>
      </c>
      <c r="B21" s="42" t="s">
        <v>156</v>
      </c>
      <c r="C21" s="144">
        <v>2.4</v>
      </c>
      <c r="D21" s="196">
        <v>418.54149000000001</v>
      </c>
      <c r="E21" s="196">
        <v>3134.3744900000002</v>
      </c>
      <c r="F21" s="196">
        <v>1103.2329999999999</v>
      </c>
      <c r="G21" s="196">
        <v>411.72300000000001</v>
      </c>
      <c r="H21" s="196">
        <v>267.661</v>
      </c>
      <c r="I21" s="196">
        <v>1102.7764</v>
      </c>
      <c r="J21" s="196">
        <v>422.94080000000002</v>
      </c>
      <c r="K21" s="196">
        <v>2.8410811587398133</v>
      </c>
      <c r="L21" s="196">
        <v>7.612823403113258</v>
      </c>
      <c r="M21" s="196">
        <v>11.710239780916906</v>
      </c>
      <c r="N21" s="196">
        <v>2.8422574966239758</v>
      </c>
      <c r="O21" s="196">
        <v>7.4109059471207317</v>
      </c>
      <c r="P21" s="196">
        <v>2691.9549999999999</v>
      </c>
      <c r="Q21" s="196">
        <v>3094.828</v>
      </c>
      <c r="R21" s="195">
        <v>0.86982378342188971</v>
      </c>
    </row>
    <row r="22" spans="1:18">
      <c r="A22" s="1" t="s">
        <v>269</v>
      </c>
      <c r="B22" s="42" t="s">
        <v>268</v>
      </c>
      <c r="C22" s="144">
        <v>3.4</v>
      </c>
      <c r="D22" s="196">
        <v>279.27524</v>
      </c>
      <c r="E22" s="196">
        <v>20129.76324</v>
      </c>
      <c r="F22" s="196">
        <v>6203.3360000000002</v>
      </c>
      <c r="G22" s="196">
        <v>1800.8979999999999</v>
      </c>
      <c r="H22" s="196">
        <v>1068.921</v>
      </c>
      <c r="I22" s="196">
        <v>6232.85</v>
      </c>
      <c r="J22" s="196">
        <v>1840.4</v>
      </c>
      <c r="K22" s="196">
        <v>3.2449899924814649</v>
      </c>
      <c r="L22" s="196">
        <v>11.177625406880345</v>
      </c>
      <c r="M22" s="196">
        <v>18.831853092978807</v>
      </c>
      <c r="N22" s="196">
        <v>3.2296242072246244</v>
      </c>
      <c r="O22" s="196">
        <v>10.937710954140403</v>
      </c>
      <c r="P22" s="196">
        <v>20839.96</v>
      </c>
      <c r="Q22" s="196">
        <v>12992.623</v>
      </c>
      <c r="R22" s="195">
        <v>1.6039840454079211</v>
      </c>
    </row>
    <row r="23" spans="1:18">
      <c r="B23" s="42"/>
      <c r="C23" s="144"/>
      <c r="D23" s="196"/>
      <c r="E23" s="196"/>
      <c r="F23" s="196"/>
      <c r="G23" s="196"/>
      <c r="H23" s="196"/>
      <c r="I23" s="196"/>
      <c r="J23" s="196"/>
      <c r="K23" s="196"/>
      <c r="L23" s="196"/>
      <c r="M23" s="196"/>
      <c r="N23" s="196"/>
      <c r="O23" s="196"/>
      <c r="P23" s="196"/>
      <c r="Q23" s="196"/>
      <c r="R23" s="195"/>
    </row>
    <row r="24" spans="1:18" hidden="1" outlineLevel="1">
      <c r="B24" s="42"/>
      <c r="C24" s="144"/>
      <c r="D24" s="196"/>
      <c r="E24" s="196"/>
      <c r="F24" s="190" t="s">
        <v>140</v>
      </c>
      <c r="G24" s="189"/>
      <c r="H24" s="188"/>
      <c r="I24" s="188"/>
      <c r="J24" s="189"/>
      <c r="K24" s="188">
        <f t="shared" ref="K24:R24" si="4">MAX(K15:K22)</f>
        <v>4.8867973496999877</v>
      </c>
      <c r="L24" s="188">
        <f t="shared" si="4"/>
        <v>14.9032295397722</v>
      </c>
      <c r="M24" s="188">
        <f t="shared" si="4"/>
        <v>19.785982832639132</v>
      </c>
      <c r="N24" s="188">
        <f t="shared" si="4"/>
        <v>4.3258191043456584</v>
      </c>
      <c r="O24" s="188">
        <f t="shared" si="4"/>
        <v>14.631440273413602</v>
      </c>
      <c r="P24" s="188">
        <f t="shared" si="4"/>
        <v>20839.96</v>
      </c>
      <c r="Q24" s="188">
        <f t="shared" si="4"/>
        <v>12992.623</v>
      </c>
      <c r="R24" s="187">
        <f t="shared" si="4"/>
        <v>1.6039840454079211</v>
      </c>
    </row>
    <row r="25" spans="1:18" hidden="1" outlineLevel="1">
      <c r="B25" s="42"/>
      <c r="C25" s="144"/>
      <c r="D25" s="196"/>
      <c r="E25" s="196"/>
      <c r="F25" s="185" t="s">
        <v>146</v>
      </c>
      <c r="G25" s="183"/>
      <c r="H25" s="182"/>
      <c r="I25" s="182"/>
      <c r="J25" s="183"/>
      <c r="K25" s="182">
        <f t="shared" ref="K25:R25" si="5">AVERAGE(K15:K22)</f>
        <v>2.5547732096223021</v>
      </c>
      <c r="L25" s="182">
        <f t="shared" si="5"/>
        <v>8.2624784807525362</v>
      </c>
      <c r="M25" s="182">
        <f t="shared" si="5"/>
        <v>11.511661247804463</v>
      </c>
      <c r="N25" s="182">
        <f t="shared" si="5"/>
        <v>2.4088864534628751</v>
      </c>
      <c r="O25" s="182">
        <f t="shared" si="5"/>
        <v>7.7838172949682889</v>
      </c>
      <c r="P25" s="182">
        <f t="shared" si="5"/>
        <v>3477.6461249999998</v>
      </c>
      <c r="Q25" s="182">
        <f t="shared" si="5"/>
        <v>3102.4877499999998</v>
      </c>
      <c r="R25" s="181">
        <f t="shared" si="5"/>
        <v>0.78960960288708471</v>
      </c>
    </row>
    <row r="26" spans="1:18" hidden="1" outlineLevel="1">
      <c r="B26" s="42"/>
      <c r="C26" s="144"/>
      <c r="D26" s="196"/>
      <c r="E26" s="196"/>
      <c r="F26" s="184" t="s">
        <v>239</v>
      </c>
      <c r="G26" s="183"/>
      <c r="H26" s="183"/>
      <c r="I26" s="183"/>
      <c r="J26" s="183"/>
      <c r="K26" s="182">
        <f t="shared" ref="K26:R26" si="6">MEDIAN(K15:K22)</f>
        <v>2.3953063294803956</v>
      </c>
      <c r="L26" s="182">
        <f t="shared" si="6"/>
        <v>7.3069463357256961</v>
      </c>
      <c r="M26" s="182">
        <f t="shared" si="6"/>
        <v>9.879151310325577</v>
      </c>
      <c r="N26" s="182">
        <f t="shared" si="6"/>
        <v>2.2707838627816699</v>
      </c>
      <c r="O26" s="182">
        <f t="shared" si="6"/>
        <v>6.819234438076732</v>
      </c>
      <c r="P26" s="182">
        <f t="shared" si="6"/>
        <v>607.37149999999997</v>
      </c>
      <c r="Q26" s="182">
        <f t="shared" si="6"/>
        <v>702.04750000000001</v>
      </c>
      <c r="R26" s="181">
        <f t="shared" si="6"/>
        <v>0.78420973600962229</v>
      </c>
    </row>
    <row r="27" spans="1:18" hidden="1" outlineLevel="1">
      <c r="B27" s="42"/>
      <c r="C27" s="144"/>
      <c r="D27" s="196"/>
      <c r="E27" s="196"/>
      <c r="F27" s="179" t="s">
        <v>141</v>
      </c>
      <c r="G27" s="178"/>
      <c r="H27" s="177"/>
      <c r="I27" s="177"/>
      <c r="J27" s="178"/>
      <c r="K27" s="177">
        <f t="shared" ref="K27:R27" si="7">MIN(K15:K22)</f>
        <v>0.74193681022755953</v>
      </c>
      <c r="L27" s="177">
        <f t="shared" si="7"/>
        <v>4.6910791982876043</v>
      </c>
      <c r="M27" s="177">
        <f t="shared" si="7"/>
        <v>6.37190252154147</v>
      </c>
      <c r="N27" s="177">
        <f t="shared" si="7"/>
        <v>0.72782938434412969</v>
      </c>
      <c r="O27" s="177">
        <f t="shared" si="7"/>
        <v>4.5772055803884051</v>
      </c>
      <c r="P27" s="177">
        <f t="shared" si="7"/>
        <v>0</v>
      </c>
      <c r="Q27" s="177">
        <f t="shared" si="7"/>
        <v>118.461</v>
      </c>
      <c r="R27" s="176">
        <f t="shared" si="7"/>
        <v>0</v>
      </c>
    </row>
    <row r="28" spans="1:18" hidden="1" outlineLevel="1">
      <c r="B28" s="42"/>
      <c r="C28" s="144"/>
      <c r="D28" s="196"/>
      <c r="E28" s="196"/>
      <c r="F28" s="196"/>
      <c r="G28" s="196"/>
      <c r="H28" s="196"/>
      <c r="I28" s="196"/>
      <c r="J28" s="196"/>
      <c r="K28" s="196"/>
      <c r="L28" s="196"/>
      <c r="M28" s="196"/>
      <c r="N28" s="196"/>
      <c r="O28" s="196"/>
      <c r="P28" s="196"/>
      <c r="Q28" s="196"/>
      <c r="R28" s="195"/>
    </row>
    <row r="29" spans="1:18" collapsed="1">
      <c r="B29" s="197" t="s">
        <v>240</v>
      </c>
      <c r="C29" s="144"/>
      <c r="D29" s="196"/>
      <c r="E29" s="196"/>
      <c r="F29" s="196"/>
      <c r="G29" s="196"/>
      <c r="H29" s="196"/>
      <c r="I29" s="196"/>
      <c r="J29" s="196"/>
      <c r="K29" s="196"/>
      <c r="L29" s="196"/>
      <c r="M29" s="196"/>
      <c r="N29" s="196"/>
      <c r="O29" s="196"/>
      <c r="P29" s="196"/>
      <c r="Q29" s="196"/>
      <c r="R29" s="195"/>
    </row>
    <row r="30" spans="1:18">
      <c r="A30" s="1" t="s">
        <v>267</v>
      </c>
      <c r="B30" s="42" t="s">
        <v>266</v>
      </c>
      <c r="C30" s="144">
        <v>19.52</v>
      </c>
      <c r="D30" s="196">
        <v>23086.069759999998</v>
      </c>
      <c r="E30" s="196">
        <v>14755.09476</v>
      </c>
      <c r="F30" s="196">
        <v>4964.9120000000003</v>
      </c>
      <c r="G30" s="196">
        <v>1321.431</v>
      </c>
      <c r="H30" s="196">
        <v>794.69</v>
      </c>
      <c r="I30" s="196">
        <v>4584.4996000000001</v>
      </c>
      <c r="J30" s="196">
        <v>1748.6493</v>
      </c>
      <c r="K30" s="196">
        <v>2.9718743776324734</v>
      </c>
      <c r="L30" s="196">
        <v>11.165997134924185</v>
      </c>
      <c r="M30" s="196">
        <v>18.567107626873369</v>
      </c>
      <c r="N30" s="196">
        <v>3.2184744350288526</v>
      </c>
      <c r="O30" s="196">
        <v>8.437995405939887</v>
      </c>
      <c r="P30" s="196">
        <v>38.222999999999999</v>
      </c>
      <c r="Q30" s="196">
        <v>15643.744000000001</v>
      </c>
      <c r="R30" s="195">
        <v>2.4433409291279629E-3</v>
      </c>
    </row>
    <row r="31" spans="1:18">
      <c r="A31" s="1" t="s">
        <v>265</v>
      </c>
      <c r="B31" s="42" t="s">
        <v>264</v>
      </c>
      <c r="C31" s="144">
        <v>0.59499999999999997</v>
      </c>
      <c r="D31" s="196">
        <v>215.45660000000001</v>
      </c>
      <c r="E31" s="196">
        <v>189.63745</v>
      </c>
      <c r="F31" s="196">
        <v>151.79900000000001</v>
      </c>
      <c r="G31" s="196">
        <v>16.495999999999999</v>
      </c>
      <c r="H31" s="196">
        <v>8.2560000000000002</v>
      </c>
      <c r="I31" s="196">
        <v>182.47380000000001</v>
      </c>
      <c r="J31" s="196">
        <v>23.336300000000001</v>
      </c>
      <c r="K31" s="196">
        <v>1.2492667935888906</v>
      </c>
      <c r="L31" s="196">
        <v>11.495965688651795</v>
      </c>
      <c r="M31" s="196">
        <v>22.969652374031007</v>
      </c>
      <c r="N31" s="196">
        <v>1.0392585127289506</v>
      </c>
      <c r="O31" s="196">
        <v>8.1262860864832902</v>
      </c>
      <c r="P31" s="196">
        <v>0</v>
      </c>
      <c r="Q31" s="196">
        <v>128.83799999999999</v>
      </c>
      <c r="R31" s="195">
        <v>0</v>
      </c>
    </row>
    <row r="32" spans="1:18">
      <c r="A32" s="1" t="s">
        <v>263</v>
      </c>
      <c r="B32" s="42" t="s">
        <v>262</v>
      </c>
      <c r="C32" s="144">
        <v>9.1</v>
      </c>
      <c r="D32" s="196">
        <v>775.15620000000001</v>
      </c>
      <c r="E32" s="196">
        <v>662.24019999999996</v>
      </c>
      <c r="F32" s="196">
        <v>361.851</v>
      </c>
      <c r="G32" s="196">
        <v>65.212999999999994</v>
      </c>
      <c r="H32" s="196">
        <v>6.5960000000000001</v>
      </c>
      <c r="I32" s="196">
        <v>414.64690000000002</v>
      </c>
      <c r="J32" s="196">
        <v>116.2803</v>
      </c>
      <c r="K32" s="196">
        <v>1.8301461098628993</v>
      </c>
      <c r="L32" s="196">
        <v>10.155033505589376</v>
      </c>
      <c r="M32" s="196">
        <v>100.40027289266222</v>
      </c>
      <c r="N32" s="196">
        <v>1.5971184156929665</v>
      </c>
      <c r="O32" s="196">
        <v>5.6952054647261834</v>
      </c>
      <c r="P32" s="196">
        <v>0</v>
      </c>
      <c r="Q32" s="196">
        <v>469.36</v>
      </c>
      <c r="R32" s="195">
        <v>0</v>
      </c>
    </row>
    <row r="33" spans="1:18">
      <c r="A33" s="1" t="s">
        <v>261</v>
      </c>
      <c r="B33" s="42" t="s">
        <v>152</v>
      </c>
      <c r="C33" s="144">
        <v>35.840000000000003</v>
      </c>
      <c r="D33" s="196">
        <v>22774.465080000002</v>
      </c>
      <c r="E33" s="196">
        <v>27754.465080000002</v>
      </c>
      <c r="F33" s="196">
        <v>14602</v>
      </c>
      <c r="G33" s="196">
        <v>3420</v>
      </c>
      <c r="H33" s="196">
        <v>2894</v>
      </c>
      <c r="I33" s="196">
        <v>15524.0712</v>
      </c>
      <c r="J33" s="196">
        <v>3790.8290000000002</v>
      </c>
      <c r="K33" s="196">
        <v>1.9007303848787838</v>
      </c>
      <c r="L33" s="196">
        <v>8.1153406666666665</v>
      </c>
      <c r="M33" s="196">
        <v>9.5903472978576367</v>
      </c>
      <c r="N33" s="196">
        <v>1.7878341784466951</v>
      </c>
      <c r="O33" s="196">
        <v>7.3214764052928789</v>
      </c>
      <c r="P33" s="196">
        <v>5927</v>
      </c>
      <c r="Q33" s="196">
        <v>16216</v>
      </c>
      <c r="R33" s="195">
        <v>0.36550320670942277</v>
      </c>
    </row>
    <row r="34" spans="1:18">
      <c r="B34" s="42"/>
      <c r="C34" s="144"/>
      <c r="D34" s="196"/>
      <c r="E34" s="196"/>
      <c r="F34" s="196"/>
      <c r="G34" s="196"/>
      <c r="H34" s="196"/>
      <c r="I34" s="196"/>
      <c r="J34" s="196"/>
      <c r="K34" s="196"/>
      <c r="L34" s="196"/>
      <c r="M34" s="196"/>
      <c r="N34" s="196"/>
      <c r="O34" s="196"/>
      <c r="P34" s="196"/>
      <c r="Q34" s="196"/>
      <c r="R34" s="195"/>
    </row>
    <row r="35" spans="1:18" hidden="1" outlineLevel="1">
      <c r="B35" s="42"/>
      <c r="C35" s="144"/>
      <c r="D35" s="196"/>
      <c r="E35" s="196"/>
      <c r="F35" s="190" t="s">
        <v>140</v>
      </c>
      <c r="G35" s="189"/>
      <c r="H35" s="188"/>
      <c r="I35" s="188"/>
      <c r="J35" s="189"/>
      <c r="K35" s="188">
        <f t="shared" ref="K35:R35" si="8">MAX(K30:K33)</f>
        <v>2.9718743776324734</v>
      </c>
      <c r="L35" s="188">
        <f t="shared" si="8"/>
        <v>11.495965688651795</v>
      </c>
      <c r="M35" s="188">
        <f t="shared" si="8"/>
        <v>100.40027289266222</v>
      </c>
      <c r="N35" s="188">
        <f t="shared" si="8"/>
        <v>3.2184744350288526</v>
      </c>
      <c r="O35" s="188">
        <f t="shared" si="8"/>
        <v>8.437995405939887</v>
      </c>
      <c r="P35" s="188">
        <f t="shared" si="8"/>
        <v>5927</v>
      </c>
      <c r="Q35" s="188">
        <f t="shared" si="8"/>
        <v>16216</v>
      </c>
      <c r="R35" s="187">
        <f t="shared" si="8"/>
        <v>0.36550320670942277</v>
      </c>
    </row>
    <row r="36" spans="1:18" hidden="1" outlineLevel="1">
      <c r="B36" s="42"/>
      <c r="C36" s="144"/>
      <c r="D36" s="196"/>
      <c r="E36" s="196"/>
      <c r="F36" s="185" t="s">
        <v>146</v>
      </c>
      <c r="G36" s="183"/>
      <c r="H36" s="182"/>
      <c r="I36" s="182"/>
      <c r="J36" s="183"/>
      <c r="K36" s="182">
        <f t="shared" ref="K36:R36" si="9">AVERAGE(K30:K33)</f>
        <v>1.9880044164907615</v>
      </c>
      <c r="L36" s="182">
        <f t="shared" si="9"/>
        <v>10.233084248958006</v>
      </c>
      <c r="M36" s="182">
        <f t="shared" si="9"/>
        <v>37.881845047856061</v>
      </c>
      <c r="N36" s="182">
        <f t="shared" si="9"/>
        <v>1.9106713854743662</v>
      </c>
      <c r="O36" s="182">
        <f t="shared" si="9"/>
        <v>7.3952408406105601</v>
      </c>
      <c r="P36" s="182">
        <f t="shared" si="9"/>
        <v>1491.30575</v>
      </c>
      <c r="Q36" s="182">
        <f t="shared" si="9"/>
        <v>8114.4855000000007</v>
      </c>
      <c r="R36" s="181">
        <f t="shared" si="9"/>
        <v>9.1986636909637681E-2</v>
      </c>
    </row>
    <row r="37" spans="1:18" hidden="1" outlineLevel="1">
      <c r="B37" s="42"/>
      <c r="C37" s="144"/>
      <c r="D37" s="196"/>
      <c r="E37" s="196"/>
      <c r="F37" s="184" t="s">
        <v>239</v>
      </c>
      <c r="G37" s="183"/>
      <c r="H37" s="183"/>
      <c r="I37" s="183"/>
      <c r="J37" s="183"/>
      <c r="K37" s="182">
        <f t="shared" ref="K37:R37" si="10">MEDIAN(K30:K33)</f>
        <v>1.8654382473708415</v>
      </c>
      <c r="L37" s="182">
        <f t="shared" si="10"/>
        <v>10.660515320256781</v>
      </c>
      <c r="M37" s="182">
        <f t="shared" si="10"/>
        <v>20.76838000045219</v>
      </c>
      <c r="N37" s="182">
        <f t="shared" si="10"/>
        <v>1.6924762970698308</v>
      </c>
      <c r="O37" s="182">
        <f t="shared" si="10"/>
        <v>7.7238812458880846</v>
      </c>
      <c r="P37" s="182">
        <f t="shared" si="10"/>
        <v>19.111499999999999</v>
      </c>
      <c r="Q37" s="182">
        <f t="shared" si="10"/>
        <v>8056.5519999999997</v>
      </c>
      <c r="R37" s="181">
        <f t="shared" si="10"/>
        <v>1.2216704645639815E-3</v>
      </c>
    </row>
    <row r="38" spans="1:18" hidden="1" outlineLevel="1">
      <c r="B38" s="42"/>
      <c r="C38" s="144"/>
      <c r="D38" s="196"/>
      <c r="E38" s="196"/>
      <c r="F38" s="179" t="s">
        <v>141</v>
      </c>
      <c r="G38" s="178"/>
      <c r="H38" s="177"/>
      <c r="I38" s="177"/>
      <c r="J38" s="178"/>
      <c r="K38" s="177">
        <f t="shared" ref="K38:R38" si="11">MIN(K30:K33)</f>
        <v>1.2492667935888906</v>
      </c>
      <c r="L38" s="177">
        <f t="shared" si="11"/>
        <v>8.1153406666666665</v>
      </c>
      <c r="M38" s="177">
        <f t="shared" si="11"/>
        <v>9.5903472978576367</v>
      </c>
      <c r="N38" s="177">
        <f t="shared" si="11"/>
        <v>1.0392585127289506</v>
      </c>
      <c r="O38" s="177">
        <f t="shared" si="11"/>
        <v>5.6952054647261834</v>
      </c>
      <c r="P38" s="177">
        <f t="shared" si="11"/>
        <v>0</v>
      </c>
      <c r="Q38" s="177">
        <f t="shared" si="11"/>
        <v>128.83799999999999</v>
      </c>
      <c r="R38" s="176">
        <f t="shared" si="11"/>
        <v>0</v>
      </c>
    </row>
    <row r="39" spans="1:18" hidden="1" outlineLevel="1">
      <c r="B39" s="42"/>
      <c r="C39" s="144"/>
      <c r="D39" s="196"/>
      <c r="E39" s="196"/>
      <c r="F39" s="196"/>
      <c r="G39" s="196" t="s">
        <v>260</v>
      </c>
      <c r="H39" s="196"/>
      <c r="I39" s="196"/>
      <c r="J39" s="196"/>
      <c r="K39" s="196"/>
      <c r="L39" s="196"/>
      <c r="M39" s="196"/>
      <c r="N39" s="196"/>
      <c r="O39" s="196"/>
      <c r="P39" s="196"/>
      <c r="Q39" s="196"/>
      <c r="R39" s="195"/>
    </row>
    <row r="40" spans="1:18" collapsed="1">
      <c r="B40" s="197" t="s">
        <v>238</v>
      </c>
      <c r="C40" s="144"/>
      <c r="D40" s="196"/>
      <c r="E40" s="196"/>
      <c r="F40" s="196"/>
      <c r="G40" s="196"/>
      <c r="H40" s="196"/>
      <c r="I40" s="196"/>
      <c r="J40" s="196"/>
      <c r="K40" s="196"/>
      <c r="L40" s="196"/>
      <c r="M40" s="196"/>
      <c r="N40" s="196"/>
      <c r="O40" s="196"/>
      <c r="P40" s="196"/>
      <c r="Q40" s="196"/>
      <c r="R40" s="195"/>
    </row>
    <row r="41" spans="1:18">
      <c r="A41" s="1" t="s">
        <v>259</v>
      </c>
      <c r="B41" s="42" t="s">
        <v>258</v>
      </c>
      <c r="C41" s="144">
        <v>19.3</v>
      </c>
      <c r="D41" s="196">
        <v>1221.6871599999999</v>
      </c>
      <c r="E41" s="196">
        <v>1098.6041600000001</v>
      </c>
      <c r="F41" s="196">
        <v>121.315</v>
      </c>
      <c r="G41" s="196">
        <v>-11.308999999999999</v>
      </c>
      <c r="H41" s="196">
        <v>-16.459</v>
      </c>
      <c r="I41" s="196">
        <v>189.964</v>
      </c>
      <c r="J41" s="196">
        <v>14.8353</v>
      </c>
      <c r="K41" s="196">
        <v>9.0557982112681863</v>
      </c>
      <c r="L41" s="196" t="s">
        <v>233</v>
      </c>
      <c r="M41" s="196" t="s">
        <v>233</v>
      </c>
      <c r="N41" s="196">
        <v>5.7832229264492225</v>
      </c>
      <c r="O41" s="196">
        <v>74.053383483987517</v>
      </c>
      <c r="P41" s="196">
        <v>0</v>
      </c>
      <c r="Q41" s="196">
        <v>142.95599999999999</v>
      </c>
      <c r="R41" s="195">
        <v>0</v>
      </c>
    </row>
    <row r="42" spans="1:18">
      <c r="A42" s="1" t="s">
        <v>257</v>
      </c>
      <c r="B42" s="42" t="s">
        <v>256</v>
      </c>
      <c r="C42" s="144">
        <v>18.420000000000002</v>
      </c>
      <c r="D42" s="196">
        <v>291.05441999999999</v>
      </c>
      <c r="E42" s="196">
        <v>233.03942000000001</v>
      </c>
      <c r="F42" s="196">
        <v>149.29599999999999</v>
      </c>
      <c r="G42" s="196">
        <v>34.4</v>
      </c>
      <c r="H42" s="196">
        <v>32.307000000000002</v>
      </c>
      <c r="I42" s="196">
        <v>156.56200000000001</v>
      </c>
      <c r="J42" s="196">
        <v>30.568000000000001</v>
      </c>
      <c r="K42" s="196">
        <v>1.5609220608723611</v>
      </c>
      <c r="L42" s="196">
        <v>6.7744017441860471</v>
      </c>
      <c r="M42" s="196">
        <v>7.2132794750363693</v>
      </c>
      <c r="N42" s="196">
        <v>1.4884800909543823</v>
      </c>
      <c r="O42" s="196">
        <v>7.6236397539911014</v>
      </c>
      <c r="P42" s="196">
        <v>0</v>
      </c>
      <c r="Q42" s="196">
        <v>47.183</v>
      </c>
      <c r="R42" s="195">
        <v>0</v>
      </c>
    </row>
    <row r="43" spans="1:18">
      <c r="A43" s="1" t="s">
        <v>255</v>
      </c>
      <c r="B43" s="42" t="s">
        <v>254</v>
      </c>
      <c r="C43" s="144">
        <v>113.45</v>
      </c>
      <c r="D43" s="196">
        <v>12190.041509999999</v>
      </c>
      <c r="E43" s="196">
        <v>11513.39651</v>
      </c>
      <c r="F43" s="196">
        <v>836.43200000000002</v>
      </c>
      <c r="G43" s="196">
        <v>104.108</v>
      </c>
      <c r="H43" s="196">
        <v>40.171999999999997</v>
      </c>
      <c r="I43" s="196">
        <v>1302.7736</v>
      </c>
      <c r="J43" s="196">
        <v>303.76179999999999</v>
      </c>
      <c r="K43" s="196">
        <v>13.764892435966104</v>
      </c>
      <c r="L43" s="196">
        <v>110.59089128597226</v>
      </c>
      <c r="M43" s="196">
        <v>286.60252190580508</v>
      </c>
      <c r="N43" s="196">
        <v>8.8376034868990292</v>
      </c>
      <c r="O43" s="196">
        <v>37.902713606516684</v>
      </c>
      <c r="P43" s="196">
        <v>0</v>
      </c>
      <c r="Q43" s="196">
        <v>829.06200000000001</v>
      </c>
      <c r="R43" s="195">
        <v>0</v>
      </c>
    </row>
    <row r="44" spans="1:18">
      <c r="A44" s="1" t="s">
        <v>253</v>
      </c>
      <c r="B44" s="42" t="s">
        <v>252</v>
      </c>
      <c r="C44" s="144">
        <v>27.98</v>
      </c>
      <c r="D44" s="196">
        <v>60616.636079999997</v>
      </c>
      <c r="E44" s="196">
        <v>51066.636079999997</v>
      </c>
      <c r="F44" s="196">
        <v>4635</v>
      </c>
      <c r="G44" s="196">
        <v>1090</v>
      </c>
      <c r="H44" s="196">
        <v>562</v>
      </c>
      <c r="I44" s="196">
        <v>6030.7749999999996</v>
      </c>
      <c r="J44" s="196">
        <v>3372.2874000000002</v>
      </c>
      <c r="K44" s="196">
        <v>11.017612962243797</v>
      </c>
      <c r="L44" s="196">
        <v>46.850124844036692</v>
      </c>
      <c r="M44" s="196">
        <v>90.86590049822064</v>
      </c>
      <c r="N44" s="196">
        <v>8.4676739026078742</v>
      </c>
      <c r="O44" s="196">
        <v>15.143026089650602</v>
      </c>
      <c r="P44" s="196">
        <v>902</v>
      </c>
      <c r="Q44" s="196">
        <v>15076</v>
      </c>
      <c r="R44" s="195">
        <v>5.9830193685327673E-2</v>
      </c>
    </row>
    <row r="45" spans="1:18">
      <c r="A45" s="1" t="s">
        <v>251</v>
      </c>
      <c r="B45" s="42" t="s">
        <v>250</v>
      </c>
      <c r="C45" s="144">
        <v>40.909999999999997</v>
      </c>
      <c r="D45" s="196">
        <v>5823.2922200000003</v>
      </c>
      <c r="E45" s="196">
        <v>5704.0482199999997</v>
      </c>
      <c r="F45" s="196">
        <v>731.37099999999998</v>
      </c>
      <c r="G45" s="196">
        <v>308.024</v>
      </c>
      <c r="H45" s="196">
        <v>294.52699999999999</v>
      </c>
      <c r="I45" s="196">
        <v>878.27340000000004</v>
      </c>
      <c r="J45" s="196">
        <v>405.82659999999998</v>
      </c>
      <c r="K45" s="196">
        <v>7.7991173016157322</v>
      </c>
      <c r="L45" s="196">
        <v>18.518194101758304</v>
      </c>
      <c r="M45" s="196">
        <v>19.366809222923536</v>
      </c>
      <c r="N45" s="196">
        <v>6.4946157085026135</v>
      </c>
      <c r="O45" s="196">
        <v>14.055382816207709</v>
      </c>
      <c r="P45" s="196">
        <v>414.483</v>
      </c>
      <c r="Q45" s="196">
        <v>1117.7719999999999</v>
      </c>
      <c r="R45" s="195">
        <v>0.37081175767508939</v>
      </c>
    </row>
    <row r="46" spans="1:18">
      <c r="A46" s="1" t="s">
        <v>249</v>
      </c>
      <c r="B46" s="42" t="s">
        <v>248</v>
      </c>
      <c r="C46" s="144">
        <v>696.88</v>
      </c>
      <c r="D46" s="196">
        <v>228990.72052</v>
      </c>
      <c r="E46" s="196">
        <v>192266.72052</v>
      </c>
      <c r="F46" s="196">
        <v>47543</v>
      </c>
      <c r="G46" s="196">
        <v>15851</v>
      </c>
      <c r="H46" s="196">
        <v>13339</v>
      </c>
      <c r="I46" s="196">
        <v>62724.650300000001</v>
      </c>
      <c r="J46" s="196">
        <v>20875.708699999999</v>
      </c>
      <c r="K46" s="196">
        <v>4.0440594939318091</v>
      </c>
      <c r="L46" s="196">
        <v>12.12962718566652</v>
      </c>
      <c r="M46" s="196">
        <v>14.413878140790164</v>
      </c>
      <c r="N46" s="196">
        <v>3.065249779798294</v>
      </c>
      <c r="O46" s="196">
        <v>9.2100691422274927</v>
      </c>
      <c r="P46" s="196">
        <v>7900</v>
      </c>
      <c r="Q46" s="196">
        <v>75928</v>
      </c>
      <c r="R46" s="195">
        <v>0.10404593825729638</v>
      </c>
    </row>
    <row r="47" spans="1:18">
      <c r="B47" s="42"/>
      <c r="C47" s="194"/>
      <c r="D47" s="193"/>
      <c r="E47" s="193"/>
      <c r="F47" s="193"/>
      <c r="G47" s="193"/>
      <c r="H47" s="193"/>
      <c r="I47" s="193"/>
      <c r="J47" s="193"/>
      <c r="K47" s="193"/>
      <c r="L47" s="193"/>
      <c r="M47" s="193"/>
      <c r="N47" s="193"/>
      <c r="O47" s="193"/>
      <c r="P47" s="192"/>
      <c r="Q47" s="192"/>
      <c r="R47" s="191"/>
    </row>
    <row r="48" spans="1:18" hidden="1" outlineLevel="1">
      <c r="B48" s="180"/>
      <c r="C48" s="186"/>
      <c r="D48" s="173"/>
      <c r="E48" s="173"/>
      <c r="F48" s="190" t="s">
        <v>140</v>
      </c>
      <c r="G48" s="189"/>
      <c r="H48" s="188"/>
      <c r="I48" s="188"/>
      <c r="J48" s="189"/>
      <c r="K48" s="188">
        <f t="shared" ref="K48:R48" si="12">MAX(K41:K46)</f>
        <v>13.764892435966104</v>
      </c>
      <c r="L48" s="188">
        <f t="shared" si="12"/>
        <v>110.59089128597226</v>
      </c>
      <c r="M48" s="188">
        <f t="shared" si="12"/>
        <v>286.60252190580508</v>
      </c>
      <c r="N48" s="188">
        <f t="shared" si="12"/>
        <v>8.8376034868990292</v>
      </c>
      <c r="O48" s="188">
        <f t="shared" si="12"/>
        <v>74.053383483987517</v>
      </c>
      <c r="P48" s="188">
        <f t="shared" si="12"/>
        <v>7900</v>
      </c>
      <c r="Q48" s="188">
        <f t="shared" si="12"/>
        <v>75928</v>
      </c>
      <c r="R48" s="187">
        <f t="shared" si="12"/>
        <v>0.37081175767508939</v>
      </c>
    </row>
    <row r="49" spans="1:18" hidden="1" outlineLevel="1">
      <c r="B49" s="180"/>
      <c r="C49" s="186"/>
      <c r="D49" s="173"/>
      <c r="E49" s="173"/>
      <c r="F49" s="185" t="s">
        <v>146</v>
      </c>
      <c r="G49" s="183"/>
      <c r="H49" s="182"/>
      <c r="I49" s="182"/>
      <c r="J49" s="183"/>
      <c r="K49" s="182">
        <f t="shared" ref="K49:R49" si="13">AVERAGE(K41:K46)</f>
        <v>7.8737337443163318</v>
      </c>
      <c r="L49" s="182">
        <f t="shared" si="13"/>
        <v>38.972647832323965</v>
      </c>
      <c r="M49" s="182">
        <f t="shared" si="13"/>
        <v>83.692477848555157</v>
      </c>
      <c r="N49" s="182">
        <f t="shared" si="13"/>
        <v>5.6894743158685692</v>
      </c>
      <c r="O49" s="182">
        <f t="shared" si="13"/>
        <v>26.331369148763514</v>
      </c>
      <c r="P49" s="182">
        <f t="shared" si="13"/>
        <v>1536.0805</v>
      </c>
      <c r="Q49" s="182">
        <f t="shared" si="13"/>
        <v>15523.495499999999</v>
      </c>
      <c r="R49" s="181">
        <f t="shared" si="13"/>
        <v>8.9114648269618901E-2</v>
      </c>
    </row>
    <row r="50" spans="1:18" hidden="1" outlineLevel="1">
      <c r="B50" s="175"/>
      <c r="C50" s="174"/>
      <c r="D50" s="175"/>
      <c r="E50" s="175"/>
      <c r="F50" s="184" t="s">
        <v>239</v>
      </c>
      <c r="G50" s="183"/>
      <c r="H50" s="183"/>
      <c r="I50" s="183"/>
      <c r="J50" s="183"/>
      <c r="K50" s="182">
        <f t="shared" ref="K50:R50" si="14">MEDIAN(K41:K46)</f>
        <v>8.4274577564419602</v>
      </c>
      <c r="L50" s="182">
        <f t="shared" si="14"/>
        <v>18.518194101758304</v>
      </c>
      <c r="M50" s="182">
        <f t="shared" si="14"/>
        <v>19.366809222923536</v>
      </c>
      <c r="N50" s="182">
        <f t="shared" si="14"/>
        <v>6.138919317475918</v>
      </c>
      <c r="O50" s="182">
        <f t="shared" si="14"/>
        <v>14.599204452929156</v>
      </c>
      <c r="P50" s="182">
        <f t="shared" si="14"/>
        <v>207.2415</v>
      </c>
      <c r="Q50" s="182">
        <f t="shared" si="14"/>
        <v>973.41699999999992</v>
      </c>
      <c r="R50" s="181">
        <f t="shared" si="14"/>
        <v>2.9915096842663837E-2</v>
      </c>
    </row>
    <row r="51" spans="1:18" hidden="1" outlineLevel="1">
      <c r="B51" s="180"/>
      <c r="C51" s="174"/>
      <c r="D51" s="173"/>
      <c r="E51" s="173"/>
      <c r="F51" s="179" t="s">
        <v>141</v>
      </c>
      <c r="G51" s="178"/>
      <c r="H51" s="177"/>
      <c r="I51" s="177"/>
      <c r="J51" s="178"/>
      <c r="K51" s="177">
        <f t="shared" ref="K51:R51" si="15">MIN(K41:K46)</f>
        <v>1.5609220608723611</v>
      </c>
      <c r="L51" s="177">
        <f t="shared" si="15"/>
        <v>6.7744017441860471</v>
      </c>
      <c r="M51" s="177">
        <f t="shared" si="15"/>
        <v>7.2132794750363693</v>
      </c>
      <c r="N51" s="177">
        <f t="shared" si="15"/>
        <v>1.4884800909543823</v>
      </c>
      <c r="O51" s="177">
        <f t="shared" si="15"/>
        <v>7.6236397539911014</v>
      </c>
      <c r="P51" s="177">
        <f t="shared" si="15"/>
        <v>0</v>
      </c>
      <c r="Q51" s="177">
        <f t="shared" si="15"/>
        <v>47.183</v>
      </c>
      <c r="R51" s="176">
        <f t="shared" si="15"/>
        <v>0</v>
      </c>
    </row>
    <row r="52" spans="1:18" hidden="1" outlineLevel="1">
      <c r="B52" s="175"/>
      <c r="C52" s="174"/>
      <c r="D52" s="173"/>
      <c r="E52" s="173"/>
      <c r="F52" s="173"/>
      <c r="G52" s="173"/>
      <c r="H52" s="173"/>
      <c r="I52" s="173"/>
      <c r="J52" s="173"/>
      <c r="K52" s="173"/>
      <c r="L52" s="173"/>
      <c r="M52" s="173"/>
      <c r="N52" s="173"/>
      <c r="O52" s="173"/>
      <c r="P52" s="173"/>
      <c r="Q52" s="173"/>
      <c r="R52" s="172"/>
    </row>
    <row r="53" spans="1:18" s="166" customFormat="1" collapsed="1">
      <c r="A53" s="166" t="s">
        <v>247</v>
      </c>
      <c r="B53" s="171" t="s">
        <v>246</v>
      </c>
      <c r="C53" s="170">
        <v>7.95</v>
      </c>
      <c r="D53" s="168">
        <v>1352.1042</v>
      </c>
      <c r="E53" s="168">
        <v>1271.6012000000001</v>
      </c>
      <c r="F53" s="168">
        <v>383.38200000000001</v>
      </c>
      <c r="G53" s="168">
        <v>-24.736000000000001</v>
      </c>
      <c r="H53" s="168">
        <v>-31.350999999999999</v>
      </c>
      <c r="I53" s="168">
        <v>515.9588</v>
      </c>
      <c r="J53" s="168">
        <v>5.0190000000000001</v>
      </c>
      <c r="K53" s="169">
        <f>E53/F53</f>
        <v>3.3167994324198844</v>
      </c>
      <c r="L53" s="169" t="s">
        <v>233</v>
      </c>
      <c r="M53" s="169">
        <v>-40.560148001658639</v>
      </c>
      <c r="N53" s="169">
        <v>2.4645401919688164</v>
      </c>
      <c r="O53" s="169">
        <v>253.35748157003388</v>
      </c>
      <c r="P53" s="168">
        <v>0</v>
      </c>
      <c r="Q53" s="168">
        <v>104.73699999999999</v>
      </c>
      <c r="R53" s="167">
        <v>0</v>
      </c>
    </row>
    <row r="54" spans="1:18">
      <c r="C54" s="143"/>
      <c r="D54" s="145"/>
      <c r="E54" s="145"/>
      <c r="F54" s="145"/>
      <c r="G54" s="145"/>
      <c r="H54" s="145"/>
      <c r="I54" s="145"/>
      <c r="J54" s="145"/>
      <c r="K54" s="143"/>
      <c r="L54" s="143"/>
      <c r="M54" s="143"/>
      <c r="N54" s="143"/>
      <c r="O54" s="143"/>
      <c r="P54" s="145"/>
      <c r="Q54" s="145"/>
      <c r="R54" s="145"/>
    </row>
    <row r="55" spans="1:18">
      <c r="C55" s="165" t="s">
        <v>245</v>
      </c>
      <c r="D55" s="164" t="s">
        <v>244</v>
      </c>
      <c r="F55" s="163" t="s">
        <v>243</v>
      </c>
      <c r="G55" s="145"/>
      <c r="H55" s="145"/>
      <c r="P55" s="145"/>
      <c r="Q55" s="145"/>
      <c r="R55" s="145"/>
    </row>
    <row r="56" spans="1:18">
      <c r="C56" s="143" t="s">
        <v>242</v>
      </c>
      <c r="D56" s="49">
        <v>0.1</v>
      </c>
      <c r="F56" s="162" t="s">
        <v>140</v>
      </c>
      <c r="G56" s="161"/>
      <c r="H56" s="161"/>
      <c r="I56" s="160"/>
      <c r="J56" s="160"/>
      <c r="K56" s="159">
        <f t="shared" ref="K56:R59" si="16">$D$56*K9+$D$57*K24+$D$58*K35+$D$59*K48</f>
        <v>6.3280686209762997</v>
      </c>
      <c r="L56" s="159">
        <f t="shared" si="16"/>
        <v>41.667510210354749</v>
      </c>
      <c r="M56" s="159">
        <f t="shared" si="16"/>
        <v>125.0613802902996</v>
      </c>
      <c r="N56" s="159">
        <f t="shared" si="16"/>
        <v>4.8921196070874062</v>
      </c>
      <c r="O56" s="159">
        <f t="shared" si="16"/>
        <v>29.288788425047265</v>
      </c>
      <c r="P56" s="159">
        <f t="shared" si="16"/>
        <v>11832.734</v>
      </c>
      <c r="Q56" s="159">
        <f t="shared" si="16"/>
        <v>28988.349200000001</v>
      </c>
      <c r="R56" s="158">
        <f t="shared" si="16"/>
        <v>0.86148769538622616</v>
      </c>
    </row>
    <row r="57" spans="1:18">
      <c r="C57" s="143" t="s">
        <v>241</v>
      </c>
      <c r="D57" s="157">
        <v>0.4</v>
      </c>
      <c r="F57" s="156" t="s">
        <v>146</v>
      </c>
      <c r="G57" s="155"/>
      <c r="H57" s="155"/>
      <c r="I57" s="152"/>
      <c r="J57" s="152"/>
      <c r="K57" s="272">
        <f t="shared" si="16"/>
        <v>3.6438392376375131</v>
      </c>
      <c r="L57" s="151">
        <f t="shared" si="16"/>
        <v>19.694060510041844</v>
      </c>
      <c r="M57" s="151">
        <f t="shared" si="16"/>
        <v>47.361450715942681</v>
      </c>
      <c r="N57" s="272">
        <f t="shared" si="16"/>
        <v>2.9929440714211353</v>
      </c>
      <c r="O57" s="151">
        <f t="shared" si="16"/>
        <v>14.297754531474638</v>
      </c>
      <c r="P57" s="151">
        <f t="shared" si="16"/>
        <v>2167.9050124999999</v>
      </c>
      <c r="Q57" s="151">
        <f t="shared" si="16"/>
        <v>7583.9823500000002</v>
      </c>
      <c r="R57" s="150">
        <f t="shared" si="16"/>
        <v>0.37902683051311281</v>
      </c>
    </row>
    <row r="58" spans="1:18">
      <c r="C58" s="143" t="s">
        <v>240</v>
      </c>
      <c r="D58" s="49">
        <v>0.25</v>
      </c>
      <c r="F58" s="154" t="s">
        <v>239</v>
      </c>
      <c r="G58" s="153"/>
      <c r="H58" s="153"/>
      <c r="I58" s="152"/>
      <c r="J58" s="152"/>
      <c r="K58" s="273">
        <f t="shared" si="16"/>
        <v>3.6878419463321777</v>
      </c>
      <c r="L58" s="151">
        <f t="shared" si="16"/>
        <v>14.305091987214386</v>
      </c>
      <c r="M58" s="151">
        <f t="shared" si="16"/>
        <v>26.348663322692254</v>
      </c>
      <c r="N58" s="273">
        <f t="shared" si="16"/>
        <v>2.9955155134493565</v>
      </c>
      <c r="O58" s="151">
        <f t="shared" si="16"/>
        <v>11.061040316078806</v>
      </c>
      <c r="P58" s="151">
        <f t="shared" si="16"/>
        <v>319.53685000000002</v>
      </c>
      <c r="Q58" s="151">
        <f t="shared" si="16"/>
        <v>2971.8032499999999</v>
      </c>
      <c r="R58" s="150">
        <f t="shared" si="16"/>
        <v>0.33937575429412065</v>
      </c>
    </row>
    <row r="59" spans="1:18">
      <c r="C59" s="143" t="s">
        <v>238</v>
      </c>
      <c r="D59" s="49">
        <v>0.25</v>
      </c>
      <c r="F59" s="149" t="s">
        <v>141</v>
      </c>
      <c r="G59" s="148"/>
      <c r="H59" s="148"/>
      <c r="I59" s="148"/>
      <c r="J59" s="148"/>
      <c r="K59" s="147">
        <f t="shared" si="16"/>
        <v>1.1231547871833143</v>
      </c>
      <c r="L59" s="147">
        <f t="shared" si="16"/>
        <v>8.5896353260790406</v>
      </c>
      <c r="M59" s="147">
        <f t="shared" si="16"/>
        <v>11.079790229649152</v>
      </c>
      <c r="N59" s="147">
        <f t="shared" si="16"/>
        <v>1.0340000491918151</v>
      </c>
      <c r="O59" s="147">
        <f t="shared" si="16"/>
        <v>7.8523761759223181</v>
      </c>
      <c r="P59" s="147">
        <f t="shared" si="16"/>
        <v>0</v>
      </c>
      <c r="Q59" s="147">
        <f t="shared" si="16"/>
        <v>203.07364999999999</v>
      </c>
      <c r="R59" s="146">
        <f t="shared" si="16"/>
        <v>0</v>
      </c>
    </row>
    <row r="61" spans="1:18">
      <c r="D61" s="9"/>
      <c r="I61" s="145"/>
      <c r="J61" s="145" t="s">
        <v>237</v>
      </c>
      <c r="K61" s="278">
        <f>$F$53*K56</f>
        <v>2426.0676040471358</v>
      </c>
      <c r="L61" s="233" t="s">
        <v>233</v>
      </c>
      <c r="M61" s="234" t="s">
        <v>233</v>
      </c>
      <c r="N61" s="278">
        <f>$I$53*N56</f>
        <v>2524.1321619292894</v>
      </c>
      <c r="O61" s="198">
        <f>$J$53*O56</f>
        <v>147.00042910531224</v>
      </c>
    </row>
    <row r="62" spans="1:18">
      <c r="I62" s="145"/>
      <c r="J62" s="145" t="s">
        <v>236</v>
      </c>
      <c r="K62" s="278">
        <f>$F$53*K57</f>
        <v>1396.9823746039451</v>
      </c>
      <c r="L62" s="233" t="s">
        <v>233</v>
      </c>
      <c r="M62" s="235" t="s">
        <v>233</v>
      </c>
      <c r="N62" s="278">
        <f>$I$53*N57</f>
        <v>1544.2358315575632</v>
      </c>
      <c r="O62" s="198">
        <f>$J$53*O57</f>
        <v>71.760429993471206</v>
      </c>
    </row>
    <row r="63" spans="1:18">
      <c r="I63" s="145"/>
      <c r="J63" s="145" t="s">
        <v>235</v>
      </c>
      <c r="K63" s="278">
        <f>$F$53*K58</f>
        <v>1413.8522210687229</v>
      </c>
      <c r="L63" s="233" t="s">
        <v>233</v>
      </c>
      <c r="M63" s="235" t="s">
        <v>233</v>
      </c>
      <c r="N63" s="278">
        <f>$I$53*N58</f>
        <v>1545.5625897007139</v>
      </c>
      <c r="O63" s="198">
        <f>$J$53*O58</f>
        <v>55.51536134639953</v>
      </c>
    </row>
    <row r="64" spans="1:18">
      <c r="I64" s="143"/>
      <c r="J64" s="145" t="s">
        <v>234</v>
      </c>
      <c r="K64" s="278">
        <f>$F$53*K59</f>
        <v>430.59732861991341</v>
      </c>
      <c r="L64" s="198" t="s">
        <v>233</v>
      </c>
      <c r="M64" s="198" t="s">
        <v>233</v>
      </c>
      <c r="N64" s="278">
        <f>$I$53*N59</f>
        <v>533.5014245809499</v>
      </c>
      <c r="O64" s="198">
        <f>$J$53*O59</f>
        <v>39.411076026954113</v>
      </c>
    </row>
    <row r="66" spans="6:14">
      <c r="F66" s="236"/>
      <c r="J66" s="143" t="s">
        <v>325</v>
      </c>
      <c r="K66" s="274">
        <f>K62</f>
        <v>1396.9823746039451</v>
      </c>
      <c r="L66" s="275" t="s">
        <v>232</v>
      </c>
      <c r="M66" s="276"/>
      <c r="N66" s="277">
        <f>N63</f>
        <v>1545.5625897007139</v>
      </c>
    </row>
    <row r="68" spans="6:14">
      <c r="J68" s="1" t="s">
        <v>124</v>
      </c>
      <c r="K68" s="9">
        <v>80.5</v>
      </c>
      <c r="M68" s="1">
        <v>1957.2987928975222</v>
      </c>
      <c r="N68" s="9">
        <v>80.5</v>
      </c>
    </row>
    <row r="69" spans="6:14">
      <c r="J69" s="1" t="s">
        <v>121</v>
      </c>
      <c r="K69" s="9">
        <f>K66+K68</f>
        <v>1477.4823746039451</v>
      </c>
      <c r="N69" s="9">
        <f>N66+N68</f>
        <v>1626.0625897007139</v>
      </c>
    </row>
    <row r="70" spans="6:14">
      <c r="J70" s="1" t="s">
        <v>122</v>
      </c>
      <c r="K70" s="9">
        <v>168.87867700000001</v>
      </c>
      <c r="N70" s="9">
        <v>168.87867700000001</v>
      </c>
    </row>
    <row r="71" spans="6:14">
      <c r="J71" s="1" t="s">
        <v>123</v>
      </c>
      <c r="K71" s="279">
        <f>K69/K70</f>
        <v>8.7487798983879124</v>
      </c>
      <c r="N71" s="280">
        <f>N69/N70</f>
        <v>9.6285843694803095</v>
      </c>
    </row>
  </sheetData>
  <pageMargins left="0.7" right="0.7" top="0.75" bottom="0.75" header="0.3" footer="0.3"/>
  <pageSetup scale="35"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58"/>
  <sheetViews>
    <sheetView showGridLines="0" view="pageBreakPreview" topLeftCell="A14" zoomScale="85" zoomScaleNormal="100" zoomScaleSheetLayoutView="85" workbookViewId="0">
      <selection activeCell="S29" sqref="S29"/>
    </sheetView>
  </sheetViews>
  <sheetFormatPr defaultRowHeight="15" outlineLevelRow="1" outlineLevelCol="1"/>
  <cols>
    <col min="1" max="1" width="10.28515625" style="1" bestFit="1" customWidth="1"/>
    <col min="2" max="2" width="30.42578125" style="1" bestFit="1" customWidth="1"/>
    <col min="3" max="5" width="11.7109375" style="1" customWidth="1"/>
    <col min="6" max="6" width="10.7109375" style="1" hidden="1" customWidth="1" outlineLevel="1"/>
    <col min="7" max="7" width="11.7109375" style="1" customWidth="1" collapsed="1"/>
    <col min="8" max="11" width="11.7109375" style="1" customWidth="1"/>
    <col min="12" max="12" width="11.7109375" style="1" hidden="1" customWidth="1" outlineLevel="1"/>
    <col min="13" max="13" width="11.7109375" style="1" customWidth="1" collapsed="1"/>
    <col min="14" max="14" width="9.28515625" style="1" bestFit="1" customWidth="1"/>
    <col min="15" max="15" width="11.7109375" style="1" customWidth="1" outlineLevel="1"/>
    <col min="17" max="16384" width="9.140625" style="1"/>
  </cols>
  <sheetData>
    <row r="1" spans="1:113" s="201" customFormat="1" ht="12.75">
      <c r="A1" s="207">
        <f ca="1">TODAY()</f>
        <v>41255</v>
      </c>
      <c r="B1" s="202"/>
      <c r="C1" s="228" t="s">
        <v>308</v>
      </c>
      <c r="D1" s="227"/>
      <c r="E1" s="203"/>
      <c r="F1" s="202"/>
      <c r="G1" s="226" t="s">
        <v>307</v>
      </c>
      <c r="H1" s="203"/>
      <c r="I1" s="203"/>
      <c r="J1" s="203"/>
      <c r="K1" s="203"/>
      <c r="L1" s="202"/>
      <c r="M1" s="202"/>
      <c r="N1" s="202"/>
      <c r="O1" s="20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row>
    <row r="2" spans="1:113" s="200" customFormat="1" ht="38.25">
      <c r="A2" s="200" t="s">
        <v>296</v>
      </c>
      <c r="B2" s="200" t="s">
        <v>295</v>
      </c>
      <c r="C2" s="200" t="s">
        <v>294</v>
      </c>
      <c r="D2" s="200" t="s">
        <v>306</v>
      </c>
      <c r="E2" s="200" t="s">
        <v>305</v>
      </c>
      <c r="F2" s="200" t="s">
        <v>117</v>
      </c>
      <c r="G2" s="200" t="s">
        <v>162</v>
      </c>
      <c r="H2" s="200" t="s">
        <v>304</v>
      </c>
      <c r="I2" s="200" t="s">
        <v>303</v>
      </c>
      <c r="J2" s="200" t="s">
        <v>292</v>
      </c>
      <c r="K2" s="200" t="s">
        <v>302</v>
      </c>
      <c r="L2" s="200" t="s">
        <v>291</v>
      </c>
      <c r="M2" s="200" t="s">
        <v>301</v>
      </c>
      <c r="N2" s="200" t="s">
        <v>300</v>
      </c>
      <c r="O2" s="200" t="s">
        <v>299</v>
      </c>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row>
    <row r="3" spans="1:113" ht="13.5" customHeight="1">
      <c r="B3" s="199" t="s">
        <v>36</v>
      </c>
      <c r="C3" s="199"/>
    </row>
    <row r="4" spans="1:113" ht="13.5" customHeight="1">
      <c r="B4" s="199"/>
      <c r="C4" s="199"/>
    </row>
    <row r="5" spans="1:113" ht="13.5" customHeight="1">
      <c r="B5" s="271" t="s">
        <v>242</v>
      </c>
      <c r="C5" s="199"/>
    </row>
    <row r="6" spans="1:113" ht="13.5" customHeight="1">
      <c r="A6" s="1" t="s">
        <v>285</v>
      </c>
      <c r="B6" s="42" t="s">
        <v>284</v>
      </c>
      <c r="C6" s="144">
        <v>86.083699999999993</v>
      </c>
      <c r="D6" s="198">
        <v>133.43</v>
      </c>
      <c r="E6" s="157">
        <v>0.35483999100652036</v>
      </c>
      <c r="F6" s="198">
        <v>4383.2098299999998</v>
      </c>
      <c r="G6" s="198">
        <v>3539.6179999999999</v>
      </c>
      <c r="H6" s="198">
        <v>1034.4639999999999</v>
      </c>
      <c r="I6" s="157">
        <v>0.29225300583283281</v>
      </c>
      <c r="J6" s="198">
        <v>146.55799999999999</v>
      </c>
      <c r="K6" s="157">
        <v>4.1405032972484601E-2</v>
      </c>
      <c r="L6" s="198">
        <v>101.226</v>
      </c>
      <c r="M6" s="225">
        <v>0.123114</v>
      </c>
      <c r="N6" s="195">
        <v>10.058388930339154</v>
      </c>
      <c r="O6" s="224">
        <v>0.83055999999999996</v>
      </c>
    </row>
    <row r="7" spans="1:113" ht="13.5" customHeight="1">
      <c r="A7" s="1" t="s">
        <v>283</v>
      </c>
      <c r="B7" s="42" t="s">
        <v>150</v>
      </c>
      <c r="C7" s="144">
        <v>250.69</v>
      </c>
      <c r="D7" s="196">
        <v>264.11</v>
      </c>
      <c r="E7" s="157">
        <v>5.0812161599333668E-2</v>
      </c>
      <c r="F7" s="196">
        <v>108304.29171</v>
      </c>
      <c r="G7" s="196">
        <v>57256</v>
      </c>
      <c r="H7" s="196">
        <v>13591</v>
      </c>
      <c r="I7" s="157">
        <v>0.23737250244515859</v>
      </c>
      <c r="J7" s="196">
        <v>2089</v>
      </c>
      <c r="K7" s="157">
        <v>3.6485259186810115E-2</v>
      </c>
      <c r="L7" s="196">
        <v>531</v>
      </c>
      <c r="M7" s="225">
        <v>0.29085</v>
      </c>
      <c r="N7" s="195">
        <v>6.5036265324621159</v>
      </c>
      <c r="O7" s="224">
        <v>1.3123400000000001</v>
      </c>
    </row>
    <row r="8" spans="1:113" ht="13.5" customHeight="1">
      <c r="B8" s="42"/>
      <c r="C8" s="144"/>
      <c r="D8" s="196"/>
      <c r="E8" s="157"/>
      <c r="F8" s="196"/>
      <c r="G8" s="196"/>
      <c r="H8" s="196"/>
      <c r="I8" s="157"/>
      <c r="J8" s="196"/>
      <c r="K8" s="157"/>
      <c r="L8" s="196"/>
      <c r="M8" s="225"/>
      <c r="N8" s="195"/>
      <c r="O8" s="224"/>
    </row>
    <row r="9" spans="1:113" ht="13.5" hidden="1" customHeight="1" outlineLevel="1">
      <c r="B9" s="42"/>
      <c r="C9" s="144"/>
      <c r="D9" s="196"/>
      <c r="E9" s="190" t="s">
        <v>140</v>
      </c>
      <c r="F9" s="188"/>
      <c r="G9" s="220">
        <f t="shared" ref="G9:O9" si="0">MAX(G6:G7)</f>
        <v>57256</v>
      </c>
      <c r="H9" s="220">
        <f t="shared" si="0"/>
        <v>13591</v>
      </c>
      <c r="I9" s="221">
        <f t="shared" si="0"/>
        <v>0.29225300583283281</v>
      </c>
      <c r="J9" s="220">
        <f t="shared" si="0"/>
        <v>2089</v>
      </c>
      <c r="K9" s="221">
        <f t="shared" si="0"/>
        <v>4.1405032972484601E-2</v>
      </c>
      <c r="L9" s="220">
        <f t="shared" si="0"/>
        <v>531</v>
      </c>
      <c r="M9" s="221">
        <f t="shared" si="0"/>
        <v>0.29085</v>
      </c>
      <c r="N9" s="220">
        <f t="shared" si="0"/>
        <v>10.058388930339154</v>
      </c>
      <c r="O9" s="237">
        <f t="shared" si="0"/>
        <v>1.3123400000000001</v>
      </c>
    </row>
    <row r="10" spans="1:113" ht="13.5" hidden="1" customHeight="1" outlineLevel="1">
      <c r="B10" s="42"/>
      <c r="C10" s="144"/>
      <c r="D10" s="196"/>
      <c r="E10" s="185" t="s">
        <v>146</v>
      </c>
      <c r="F10" s="182"/>
      <c r="G10" s="218">
        <f t="shared" ref="G10:O10" si="1">AVERAGE(G6:G7)</f>
        <v>30397.809000000001</v>
      </c>
      <c r="H10" s="218">
        <f t="shared" si="1"/>
        <v>7312.732</v>
      </c>
      <c r="I10" s="219">
        <f t="shared" si="1"/>
        <v>0.26481275413899569</v>
      </c>
      <c r="J10" s="218">
        <f t="shared" si="1"/>
        <v>1117.779</v>
      </c>
      <c r="K10" s="219">
        <f t="shared" si="1"/>
        <v>3.8945146079647358E-2</v>
      </c>
      <c r="L10" s="218">
        <f t="shared" si="1"/>
        <v>316.113</v>
      </c>
      <c r="M10" s="219">
        <f t="shared" si="1"/>
        <v>0.206982</v>
      </c>
      <c r="N10" s="218">
        <f t="shared" si="1"/>
        <v>8.281007731400635</v>
      </c>
      <c r="O10" s="238">
        <f t="shared" si="1"/>
        <v>1.07145</v>
      </c>
    </row>
    <row r="11" spans="1:113" ht="13.5" hidden="1" customHeight="1" outlineLevel="1">
      <c r="B11" s="42"/>
      <c r="C11" s="144"/>
      <c r="D11" s="196"/>
      <c r="E11" s="184" t="s">
        <v>239</v>
      </c>
      <c r="F11" s="183"/>
      <c r="G11" s="218">
        <f t="shared" ref="G11:O11" si="2">MEDIAN(G6:G7)</f>
        <v>30397.808999999997</v>
      </c>
      <c r="H11" s="218">
        <f t="shared" si="2"/>
        <v>7312.732</v>
      </c>
      <c r="I11" s="219">
        <f t="shared" si="2"/>
        <v>0.26481275413899569</v>
      </c>
      <c r="J11" s="218">
        <f t="shared" si="2"/>
        <v>1117.779</v>
      </c>
      <c r="K11" s="219">
        <f t="shared" si="2"/>
        <v>3.8945146079647358E-2</v>
      </c>
      <c r="L11" s="218">
        <f t="shared" si="2"/>
        <v>316.113</v>
      </c>
      <c r="M11" s="219">
        <f t="shared" si="2"/>
        <v>0.206982</v>
      </c>
      <c r="N11" s="218">
        <f t="shared" si="2"/>
        <v>8.281007731400635</v>
      </c>
      <c r="O11" s="238">
        <f t="shared" si="2"/>
        <v>1.07145</v>
      </c>
    </row>
    <row r="12" spans="1:113" ht="13.5" hidden="1" customHeight="1" outlineLevel="1">
      <c r="B12" s="42"/>
      <c r="C12" s="144"/>
      <c r="D12" s="196"/>
      <c r="E12" s="179" t="s">
        <v>141</v>
      </c>
      <c r="F12" s="177"/>
      <c r="G12" s="216">
        <f t="shared" ref="G12:O12" si="3">MIN(G6:G7)</f>
        <v>3539.6179999999999</v>
      </c>
      <c r="H12" s="216">
        <f t="shared" si="3"/>
        <v>1034.4639999999999</v>
      </c>
      <c r="I12" s="217">
        <f t="shared" si="3"/>
        <v>0.23737250244515859</v>
      </c>
      <c r="J12" s="216">
        <f t="shared" si="3"/>
        <v>146.55799999999999</v>
      </c>
      <c r="K12" s="217">
        <f t="shared" si="3"/>
        <v>3.6485259186810115E-2</v>
      </c>
      <c r="L12" s="216">
        <f t="shared" si="3"/>
        <v>101.226</v>
      </c>
      <c r="M12" s="217">
        <f t="shared" si="3"/>
        <v>0.123114</v>
      </c>
      <c r="N12" s="216">
        <f t="shared" si="3"/>
        <v>6.5036265324621159</v>
      </c>
      <c r="O12" s="239">
        <f t="shared" si="3"/>
        <v>0.83055999999999996</v>
      </c>
    </row>
    <row r="13" spans="1:113" ht="13.5" hidden="1" customHeight="1" outlineLevel="1">
      <c r="B13" s="42"/>
      <c r="C13" s="144"/>
      <c r="D13" s="198"/>
      <c r="E13" s="157"/>
      <c r="F13" s="196"/>
      <c r="G13" s="196"/>
      <c r="H13" s="198"/>
      <c r="I13" s="157"/>
      <c r="J13" s="196"/>
      <c r="K13" s="157"/>
      <c r="L13" s="196"/>
      <c r="M13" s="225"/>
      <c r="N13" s="195"/>
      <c r="O13" s="224"/>
    </row>
    <row r="14" spans="1:113" ht="13.5" customHeight="1" collapsed="1">
      <c r="B14" s="271" t="s">
        <v>241</v>
      </c>
      <c r="C14" s="144"/>
      <c r="D14" s="198"/>
      <c r="E14" s="157"/>
      <c r="F14" s="196"/>
      <c r="G14" s="196"/>
      <c r="H14" s="198"/>
      <c r="I14" s="157"/>
      <c r="J14" s="196"/>
      <c r="K14" s="157"/>
      <c r="L14" s="196"/>
      <c r="M14" s="225"/>
      <c r="N14" s="195"/>
      <c r="O14" s="224"/>
    </row>
    <row r="15" spans="1:113" ht="13.5" customHeight="1">
      <c r="A15" s="1" t="s">
        <v>282</v>
      </c>
      <c r="B15" s="42" t="s">
        <v>281</v>
      </c>
      <c r="C15" s="144">
        <v>2.73</v>
      </c>
      <c r="D15" s="196">
        <v>2.97</v>
      </c>
      <c r="E15" s="157">
        <v>8.080808080808087E-2</v>
      </c>
      <c r="F15" s="196">
        <v>16093.997579999999</v>
      </c>
      <c r="G15" s="196">
        <v>3293.3629999999998</v>
      </c>
      <c r="H15" s="196">
        <v>2062.85</v>
      </c>
      <c r="I15" s="157">
        <v>0.6263658151257544</v>
      </c>
      <c r="J15" s="196">
        <v>1079.9000000000001</v>
      </c>
      <c r="K15" s="157">
        <v>0.32790190452737827</v>
      </c>
      <c r="L15" s="196">
        <v>813.404</v>
      </c>
      <c r="M15" s="225">
        <v>0.12826100000000001</v>
      </c>
      <c r="N15" s="195">
        <v>38.100415166730237</v>
      </c>
      <c r="O15" s="224">
        <v>1.0141500000000001</v>
      </c>
    </row>
    <row r="16" spans="1:113" ht="13.5" customHeight="1">
      <c r="A16" s="1" t="s">
        <v>280</v>
      </c>
      <c r="B16" s="42" t="s">
        <v>279</v>
      </c>
      <c r="C16" s="144">
        <v>6.78</v>
      </c>
      <c r="D16" s="196">
        <v>8.64</v>
      </c>
      <c r="E16" s="157">
        <v>0.21527777777777779</v>
      </c>
      <c r="F16" s="196">
        <v>842.05864999999994</v>
      </c>
      <c r="G16" s="196">
        <v>381.96600000000001</v>
      </c>
      <c r="H16" s="196">
        <v>130.36500000000001</v>
      </c>
      <c r="I16" s="157">
        <v>0.34130001099574309</v>
      </c>
      <c r="J16" s="196">
        <v>104.239</v>
      </c>
      <c r="K16" s="157">
        <v>0.2729012529911039</v>
      </c>
      <c r="L16" s="196">
        <v>94.013999999999996</v>
      </c>
      <c r="M16" s="225">
        <v>1.3884000000000001E-2</v>
      </c>
      <c r="N16" s="195">
        <v>158.78264413364042</v>
      </c>
      <c r="O16" s="224">
        <v>2.2299199999999999</v>
      </c>
    </row>
    <row r="17" spans="1:15" ht="13.5" customHeight="1">
      <c r="A17" s="1" t="s">
        <v>278</v>
      </c>
      <c r="B17" s="42" t="s">
        <v>277</v>
      </c>
      <c r="C17" s="144">
        <v>46.42</v>
      </c>
      <c r="D17" s="196">
        <v>47.98</v>
      </c>
      <c r="E17" s="157">
        <v>3.2513547311379641E-2</v>
      </c>
      <c r="F17" s="196">
        <v>241.98478</v>
      </c>
      <c r="G17" s="196">
        <v>128.97399999999999</v>
      </c>
      <c r="H17" s="196">
        <v>37.003</v>
      </c>
      <c r="I17" s="157">
        <v>0.2869027866081536</v>
      </c>
      <c r="J17" s="196">
        <v>36.801000000000002</v>
      </c>
      <c r="K17" s="157">
        <v>0.28533657946562879</v>
      </c>
      <c r="L17" s="196">
        <v>29.468</v>
      </c>
      <c r="M17" s="225">
        <v>1.5122E-2</v>
      </c>
      <c r="N17" s="195">
        <v>124.07281857339332</v>
      </c>
      <c r="O17" s="224">
        <v>1.42818</v>
      </c>
    </row>
    <row r="18" spans="1:15" ht="13.5" customHeight="1">
      <c r="A18" s="1" t="s">
        <v>276</v>
      </c>
      <c r="B18" s="42" t="s">
        <v>275</v>
      </c>
      <c r="C18" s="144">
        <v>25.28</v>
      </c>
      <c r="D18" s="196">
        <v>37.44</v>
      </c>
      <c r="E18" s="157">
        <v>0.32478632478632474</v>
      </c>
      <c r="F18" s="196">
        <v>120.53728</v>
      </c>
      <c r="G18" s="196">
        <v>162.46299999999999</v>
      </c>
      <c r="H18" s="196">
        <v>95.81</v>
      </c>
      <c r="I18" s="157">
        <v>0.58973427795867372</v>
      </c>
      <c r="J18" s="196">
        <v>25.695</v>
      </c>
      <c r="K18" s="157">
        <v>0.15815908853092706</v>
      </c>
      <c r="L18" s="196">
        <v>18.917000000000002</v>
      </c>
      <c r="M18" s="225">
        <v>3.6281000000000001E-2</v>
      </c>
      <c r="N18" s="195">
        <v>20.449734302460229</v>
      </c>
      <c r="O18" s="224">
        <v>1.04461</v>
      </c>
    </row>
    <row r="19" spans="1:15" ht="13.5" customHeight="1">
      <c r="A19" s="1" t="s">
        <v>274</v>
      </c>
      <c r="B19" s="42" t="s">
        <v>273</v>
      </c>
      <c r="C19" s="144">
        <v>10.27</v>
      </c>
      <c r="D19" s="196">
        <v>12.97</v>
      </c>
      <c r="E19" s="157">
        <v>0.20817270624518125</v>
      </c>
      <c r="F19" s="196">
        <v>901.66070999999999</v>
      </c>
      <c r="G19" s="196">
        <v>348.66</v>
      </c>
      <c r="H19" s="196">
        <v>260.70699999999999</v>
      </c>
      <c r="I19" s="157">
        <v>0.74773991854528765</v>
      </c>
      <c r="J19" s="196">
        <v>128.78899999999999</v>
      </c>
      <c r="K19" s="157">
        <v>0.3693827797854643</v>
      </c>
      <c r="L19" s="196">
        <v>83.474999999999994</v>
      </c>
      <c r="M19" s="225">
        <v>0.218999</v>
      </c>
      <c r="N19" s="195">
        <v>11.808612951699903</v>
      </c>
      <c r="O19" s="224">
        <v>1.5787500000000001</v>
      </c>
    </row>
    <row r="20" spans="1:15" ht="13.5" customHeight="1">
      <c r="A20" s="1" t="s">
        <v>272</v>
      </c>
      <c r="B20" s="42" t="s">
        <v>271</v>
      </c>
      <c r="C20" s="144">
        <v>7.33</v>
      </c>
      <c r="D20" s="196">
        <v>7.49</v>
      </c>
      <c r="E20" s="157">
        <v>2.1361815754339136E-2</v>
      </c>
      <c r="F20" s="196">
        <v>964.09910000000002</v>
      </c>
      <c r="G20" s="196">
        <v>468.79700000000003</v>
      </c>
      <c r="H20" s="196">
        <v>323.19600000000003</v>
      </c>
      <c r="I20" s="157">
        <v>0.68941567458836128</v>
      </c>
      <c r="J20" s="196">
        <v>159.083</v>
      </c>
      <c r="K20" s="157">
        <v>0.33934304187100173</v>
      </c>
      <c r="L20" s="196">
        <v>129.876</v>
      </c>
      <c r="M20" s="225">
        <v>0.413381</v>
      </c>
      <c r="N20" s="195">
        <v>4.9749227574609085</v>
      </c>
      <c r="O20" s="224">
        <v>1.9158900000000001</v>
      </c>
    </row>
    <row r="21" spans="1:15" ht="13.5" customHeight="1">
      <c r="A21" s="1" t="s">
        <v>270</v>
      </c>
      <c r="B21" s="42" t="s">
        <v>156</v>
      </c>
      <c r="C21" s="144">
        <v>2.4</v>
      </c>
      <c r="D21" s="196">
        <v>3.95</v>
      </c>
      <c r="E21" s="157">
        <v>0.39240506329113928</v>
      </c>
      <c r="F21" s="196">
        <v>3134.3744900000002</v>
      </c>
      <c r="G21" s="196">
        <v>1103.2329999999999</v>
      </c>
      <c r="H21" s="196">
        <v>428.346</v>
      </c>
      <c r="I21" s="157">
        <v>0.38826431044031501</v>
      </c>
      <c r="J21" s="196">
        <v>411.72300000000001</v>
      </c>
      <c r="K21" s="157">
        <v>0.37319677710873411</v>
      </c>
      <c r="L21" s="196">
        <v>267.661</v>
      </c>
      <c r="M21" s="225">
        <v>-4.9702999999999997E-2</v>
      </c>
      <c r="N21" s="195">
        <v>-57.161160467976046</v>
      </c>
      <c r="O21" s="224">
        <v>0.82462000000000002</v>
      </c>
    </row>
    <row r="22" spans="1:15" ht="13.5" customHeight="1">
      <c r="A22" s="1" t="s">
        <v>269</v>
      </c>
      <c r="B22" s="42" t="s">
        <v>268</v>
      </c>
      <c r="C22" s="144">
        <v>3.4</v>
      </c>
      <c r="D22" s="196">
        <v>6.5</v>
      </c>
      <c r="E22" s="157">
        <v>0.47692307692307695</v>
      </c>
      <c r="F22" s="196">
        <v>20129.76324</v>
      </c>
      <c r="G22" s="196">
        <v>6203.3360000000002</v>
      </c>
      <c r="H22" s="196">
        <v>3730.3919999999998</v>
      </c>
      <c r="I22" s="157">
        <v>0.60135256255666303</v>
      </c>
      <c r="J22" s="196">
        <v>1800.8979999999999</v>
      </c>
      <c r="K22" s="157">
        <v>0.29031121319238551</v>
      </c>
      <c r="L22" s="196">
        <v>1068.921</v>
      </c>
      <c r="M22" s="225">
        <v>8.8039999999999993E-3</v>
      </c>
      <c r="N22" s="195">
        <v>368.58132581570482</v>
      </c>
      <c r="O22" s="224">
        <v>0.59628000000000003</v>
      </c>
    </row>
    <row r="23" spans="1:15" ht="13.5" customHeight="1">
      <c r="B23" s="42"/>
      <c r="C23" s="144"/>
      <c r="D23" s="196"/>
      <c r="E23" s="157"/>
      <c r="F23" s="196"/>
      <c r="G23" s="196"/>
      <c r="H23" s="196"/>
      <c r="I23" s="157"/>
      <c r="J23" s="196"/>
      <c r="K23" s="157"/>
      <c r="L23" s="196"/>
      <c r="M23" s="225"/>
      <c r="N23" s="195"/>
      <c r="O23" s="224"/>
    </row>
    <row r="24" spans="1:15" ht="13.5" hidden="1" customHeight="1" outlineLevel="1">
      <c r="B24" s="42"/>
      <c r="C24" s="144"/>
      <c r="D24" s="196"/>
      <c r="E24" s="190" t="s">
        <v>140</v>
      </c>
      <c r="F24" s="188"/>
      <c r="G24" s="220">
        <f t="shared" ref="G24:O24" si="4">MAX(G15:G22)</f>
        <v>6203.3360000000002</v>
      </c>
      <c r="H24" s="220">
        <f t="shared" si="4"/>
        <v>3730.3919999999998</v>
      </c>
      <c r="I24" s="221">
        <f t="shared" si="4"/>
        <v>0.74773991854528765</v>
      </c>
      <c r="J24" s="220">
        <f t="shared" si="4"/>
        <v>1800.8979999999999</v>
      </c>
      <c r="K24" s="221">
        <f t="shared" si="4"/>
        <v>0.37319677710873411</v>
      </c>
      <c r="L24" s="220">
        <f t="shared" si="4"/>
        <v>1068.921</v>
      </c>
      <c r="M24" s="221">
        <f t="shared" si="4"/>
        <v>0.413381</v>
      </c>
      <c r="N24" s="220">
        <f t="shared" si="4"/>
        <v>368.58132581570482</v>
      </c>
      <c r="O24" s="237">
        <f t="shared" si="4"/>
        <v>2.2299199999999999</v>
      </c>
    </row>
    <row r="25" spans="1:15" ht="13.5" hidden="1" customHeight="1" outlineLevel="1">
      <c r="B25" s="42"/>
      <c r="C25" s="144"/>
      <c r="D25" s="196"/>
      <c r="E25" s="185" t="s">
        <v>146</v>
      </c>
      <c r="F25" s="182"/>
      <c r="G25" s="218">
        <f t="shared" ref="G25:O25" si="5">AVERAGE(G15:G22)</f>
        <v>1511.3490000000002</v>
      </c>
      <c r="H25" s="218">
        <f t="shared" si="5"/>
        <v>883.58362499999998</v>
      </c>
      <c r="I25" s="219">
        <f t="shared" si="5"/>
        <v>0.53388441960236899</v>
      </c>
      <c r="J25" s="218">
        <f t="shared" si="5"/>
        <v>468.39099999999996</v>
      </c>
      <c r="K25" s="219">
        <f t="shared" si="5"/>
        <v>0.30206657968407796</v>
      </c>
      <c r="L25" s="218">
        <f t="shared" si="5"/>
        <v>313.21699999999998</v>
      </c>
      <c r="M25" s="219">
        <f t="shared" si="5"/>
        <v>9.8128624999999997E-2</v>
      </c>
      <c r="N25" s="218">
        <f t="shared" si="5"/>
        <v>83.701164154139221</v>
      </c>
      <c r="O25" s="238">
        <f t="shared" si="5"/>
        <v>1.3290500000000001</v>
      </c>
    </row>
    <row r="26" spans="1:15" ht="13.5" hidden="1" customHeight="1" outlineLevel="1">
      <c r="B26" s="42"/>
      <c r="C26" s="144"/>
      <c r="D26" s="196"/>
      <c r="E26" s="184" t="s">
        <v>239</v>
      </c>
      <c r="F26" s="183"/>
      <c r="G26" s="218">
        <f t="shared" ref="G26:O26" si="6">MEDIAN(G15:G22)</f>
        <v>425.38150000000002</v>
      </c>
      <c r="H26" s="218">
        <f t="shared" si="6"/>
        <v>291.95150000000001</v>
      </c>
      <c r="I26" s="219">
        <f t="shared" si="6"/>
        <v>0.59554342025766838</v>
      </c>
      <c r="J26" s="218">
        <f t="shared" si="6"/>
        <v>143.93599999999998</v>
      </c>
      <c r="K26" s="219">
        <f t="shared" si="6"/>
        <v>0.30910655885988192</v>
      </c>
      <c r="L26" s="218">
        <f t="shared" si="6"/>
        <v>111.94499999999999</v>
      </c>
      <c r="M26" s="219">
        <f t="shared" si="6"/>
        <v>2.5701500000000002E-2</v>
      </c>
      <c r="N26" s="218">
        <f t="shared" si="6"/>
        <v>29.275074734595233</v>
      </c>
      <c r="O26" s="238">
        <f t="shared" si="6"/>
        <v>1.2363949999999999</v>
      </c>
    </row>
    <row r="27" spans="1:15" ht="13.5" hidden="1" customHeight="1" outlineLevel="1">
      <c r="B27" s="42"/>
      <c r="C27" s="144"/>
      <c r="D27" s="196"/>
      <c r="E27" s="179" t="s">
        <v>141</v>
      </c>
      <c r="F27" s="177"/>
      <c r="G27" s="216">
        <f t="shared" ref="G27:O27" si="7">MIN(G15:G22)</f>
        <v>128.97399999999999</v>
      </c>
      <c r="H27" s="216">
        <f t="shared" si="7"/>
        <v>37.003</v>
      </c>
      <c r="I27" s="217">
        <f t="shared" si="7"/>
        <v>0.2869027866081536</v>
      </c>
      <c r="J27" s="216">
        <f t="shared" si="7"/>
        <v>25.695</v>
      </c>
      <c r="K27" s="217">
        <f t="shared" si="7"/>
        <v>0.15815908853092706</v>
      </c>
      <c r="L27" s="216">
        <f t="shared" si="7"/>
        <v>18.917000000000002</v>
      </c>
      <c r="M27" s="217">
        <f t="shared" si="7"/>
        <v>-4.9702999999999997E-2</v>
      </c>
      <c r="N27" s="216">
        <f t="shared" si="7"/>
        <v>-57.161160467976046</v>
      </c>
      <c r="O27" s="239">
        <f t="shared" si="7"/>
        <v>0.59628000000000003</v>
      </c>
    </row>
    <row r="28" spans="1:15" ht="13.5" hidden="1" customHeight="1" outlineLevel="1">
      <c r="B28" s="42"/>
      <c r="C28" s="144"/>
      <c r="D28" s="196"/>
      <c r="E28" s="157"/>
      <c r="F28" s="196"/>
      <c r="G28" s="196"/>
      <c r="H28" s="196"/>
      <c r="I28" s="157"/>
      <c r="J28" s="196"/>
      <c r="K28" s="157"/>
      <c r="L28" s="196"/>
      <c r="M28" s="225"/>
      <c r="N28" s="195"/>
      <c r="O28" s="224"/>
    </row>
    <row r="29" spans="1:15" ht="13.5" customHeight="1" collapsed="1">
      <c r="B29" s="271" t="s">
        <v>240</v>
      </c>
      <c r="C29" s="144"/>
      <c r="D29" s="196"/>
      <c r="E29" s="157"/>
      <c r="F29" s="196"/>
      <c r="G29" s="196"/>
      <c r="H29" s="196"/>
      <c r="I29" s="157"/>
      <c r="J29" s="196"/>
      <c r="K29" s="157"/>
      <c r="L29" s="196"/>
      <c r="M29" s="225"/>
      <c r="N29" s="195"/>
      <c r="O29" s="224"/>
    </row>
    <row r="30" spans="1:15" ht="13.5" customHeight="1">
      <c r="A30" s="1" t="s">
        <v>267</v>
      </c>
      <c r="B30" s="42" t="s">
        <v>266</v>
      </c>
      <c r="C30" s="144">
        <v>19.52</v>
      </c>
      <c r="D30" s="196">
        <v>19.63</v>
      </c>
      <c r="E30" s="157">
        <v>5.6036678553234558E-3</v>
      </c>
      <c r="F30" s="196">
        <v>14755.09476</v>
      </c>
      <c r="G30" s="196">
        <v>4964.9120000000003</v>
      </c>
      <c r="H30" s="196">
        <v>3421.739</v>
      </c>
      <c r="I30" s="157">
        <v>0.68918421917649297</v>
      </c>
      <c r="J30" s="196">
        <v>1321.431</v>
      </c>
      <c r="K30" s="157">
        <v>0.26615396204404024</v>
      </c>
      <c r="L30" s="196">
        <v>794.69</v>
      </c>
      <c r="M30" s="225">
        <v>2.5633E-2</v>
      </c>
      <c r="N30" s="195">
        <v>115.9393897566603</v>
      </c>
      <c r="O30" s="224">
        <v>0.78656999999999999</v>
      </c>
    </row>
    <row r="31" spans="1:15" ht="13.5" customHeight="1">
      <c r="A31" s="1" t="s">
        <v>265</v>
      </c>
      <c r="B31" s="42" t="s">
        <v>264</v>
      </c>
      <c r="C31" s="144">
        <v>0.59499999999999997</v>
      </c>
      <c r="D31" s="196">
        <v>0.93779999999999997</v>
      </c>
      <c r="E31" s="157">
        <v>0.36553636169759013</v>
      </c>
      <c r="F31" s="196">
        <v>189.63745</v>
      </c>
      <c r="G31" s="196">
        <v>151.79900000000001</v>
      </c>
      <c r="H31" s="196">
        <v>76.131</v>
      </c>
      <c r="I31" s="157">
        <v>0.50152504298447287</v>
      </c>
      <c r="J31" s="196">
        <v>16.495999999999999</v>
      </c>
      <c r="K31" s="157">
        <v>0.10867001758904866</v>
      </c>
      <c r="L31" s="196">
        <v>8.2560000000000002</v>
      </c>
      <c r="M31" s="225">
        <v>0.440691</v>
      </c>
      <c r="N31" s="195">
        <v>2.8347908026006672</v>
      </c>
      <c r="O31" s="224">
        <v>1.7614700000000001</v>
      </c>
    </row>
    <row r="32" spans="1:15" ht="13.5" customHeight="1">
      <c r="A32" s="1" t="s">
        <v>263</v>
      </c>
      <c r="B32" s="42" t="s">
        <v>262</v>
      </c>
      <c r="C32" s="144">
        <v>9.1</v>
      </c>
      <c r="D32" s="196">
        <v>12.5</v>
      </c>
      <c r="E32" s="157">
        <v>0.27200000000000002</v>
      </c>
      <c r="F32" s="196">
        <v>662.24019999999996</v>
      </c>
      <c r="G32" s="196">
        <v>361.851</v>
      </c>
      <c r="H32" s="196">
        <v>189.5</v>
      </c>
      <c r="I32" s="157">
        <v>0.52369621750388973</v>
      </c>
      <c r="J32" s="196">
        <v>65.212999999999994</v>
      </c>
      <c r="K32" s="157">
        <v>0.18022058803209054</v>
      </c>
      <c r="L32" s="196">
        <v>6.5960000000000001</v>
      </c>
      <c r="M32" s="225">
        <v>0.14618100000000001</v>
      </c>
      <c r="N32" s="195">
        <v>12.519726297281448</v>
      </c>
      <c r="O32" s="224">
        <v>1.12371</v>
      </c>
    </row>
    <row r="33" spans="1:15" ht="13.5" customHeight="1">
      <c r="A33" s="1" t="s">
        <v>261</v>
      </c>
      <c r="B33" s="42" t="s">
        <v>152</v>
      </c>
      <c r="C33" s="144">
        <v>35.840000000000003</v>
      </c>
      <c r="D33" s="196">
        <v>38.32</v>
      </c>
      <c r="E33" s="157">
        <v>6.4718162839248347E-2</v>
      </c>
      <c r="F33" s="196">
        <v>27754.465080000002</v>
      </c>
      <c r="G33" s="196">
        <v>14602</v>
      </c>
      <c r="H33" s="196">
        <v>6172</v>
      </c>
      <c r="I33" s="157">
        <v>0.42268182440761537</v>
      </c>
      <c r="J33" s="196">
        <v>3420</v>
      </c>
      <c r="K33" s="157">
        <v>0.23421449116559376</v>
      </c>
      <c r="L33" s="196">
        <v>2894</v>
      </c>
      <c r="M33" s="225">
        <v>4.2591000000000004E-2</v>
      </c>
      <c r="N33" s="195">
        <v>44.627512499795344</v>
      </c>
      <c r="O33" s="224">
        <v>1.5007900000000001</v>
      </c>
    </row>
    <row r="34" spans="1:15" ht="13.5" customHeight="1">
      <c r="B34" s="42"/>
      <c r="C34" s="144"/>
      <c r="D34" s="196"/>
      <c r="E34" s="157"/>
      <c r="F34" s="196"/>
      <c r="G34" s="196"/>
      <c r="H34" s="196"/>
      <c r="I34" s="157"/>
      <c r="J34" s="196"/>
      <c r="K34" s="157"/>
      <c r="L34" s="196"/>
      <c r="M34" s="225"/>
      <c r="N34" s="195"/>
      <c r="O34" s="224"/>
    </row>
    <row r="35" spans="1:15" ht="13.5" hidden="1" customHeight="1" outlineLevel="1">
      <c r="B35" s="42"/>
      <c r="C35" s="144"/>
      <c r="D35" s="196"/>
      <c r="E35" s="190" t="s">
        <v>140</v>
      </c>
      <c r="F35" s="188"/>
      <c r="G35" s="220">
        <f>MAX(G30:G33)</f>
        <v>14602</v>
      </c>
      <c r="H35" s="220">
        <f t="shared" ref="H35:O35" si="8">MAX(H30:H33)</f>
        <v>6172</v>
      </c>
      <c r="I35" s="221">
        <f t="shared" si="8"/>
        <v>0.68918421917649297</v>
      </c>
      <c r="J35" s="220">
        <f t="shared" si="8"/>
        <v>3420</v>
      </c>
      <c r="K35" s="221">
        <f t="shared" si="8"/>
        <v>0.26615396204404024</v>
      </c>
      <c r="L35" s="220">
        <f t="shared" si="8"/>
        <v>2894</v>
      </c>
      <c r="M35" s="221">
        <f t="shared" si="8"/>
        <v>0.440691</v>
      </c>
      <c r="N35" s="220">
        <f t="shared" si="8"/>
        <v>115.9393897566603</v>
      </c>
      <c r="O35" s="237">
        <f t="shared" si="8"/>
        <v>1.7614700000000001</v>
      </c>
    </row>
    <row r="36" spans="1:15" ht="13.5" hidden="1" customHeight="1" outlineLevel="1">
      <c r="B36" s="42"/>
      <c r="C36" s="144"/>
      <c r="D36" s="196"/>
      <c r="E36" s="185" t="s">
        <v>146</v>
      </c>
      <c r="F36" s="182"/>
      <c r="G36" s="218">
        <f>AVERAGE(G30:G33)</f>
        <v>5020.1404999999995</v>
      </c>
      <c r="H36" s="218">
        <f t="shared" ref="H36:O36" si="9">AVERAGE(H30:H33)</f>
        <v>2464.8424999999997</v>
      </c>
      <c r="I36" s="219">
        <f t="shared" si="9"/>
        <v>0.53427182601811773</v>
      </c>
      <c r="J36" s="218">
        <f t="shared" si="9"/>
        <v>1205.7850000000001</v>
      </c>
      <c r="K36" s="219">
        <f t="shared" si="9"/>
        <v>0.1973147647076933</v>
      </c>
      <c r="L36" s="218">
        <f t="shared" si="9"/>
        <v>925.88549999999998</v>
      </c>
      <c r="M36" s="219">
        <f t="shared" si="9"/>
        <v>0.16377400000000003</v>
      </c>
      <c r="N36" s="218">
        <f t="shared" si="9"/>
        <v>43.980354839084441</v>
      </c>
      <c r="O36" s="238">
        <f t="shared" si="9"/>
        <v>1.2931350000000001</v>
      </c>
    </row>
    <row r="37" spans="1:15" ht="13.5" hidden="1" customHeight="1" outlineLevel="1">
      <c r="B37" s="42"/>
      <c r="C37" s="144"/>
      <c r="D37" s="196"/>
      <c r="E37" s="184" t="s">
        <v>239</v>
      </c>
      <c r="F37" s="183"/>
      <c r="G37" s="218">
        <f>MEDIAN(G30:G33)</f>
        <v>2663.3815000000004</v>
      </c>
      <c r="H37" s="218">
        <f t="shared" ref="H37:O37" si="10">MEDIAN(H30:H33)</f>
        <v>1805.6195</v>
      </c>
      <c r="I37" s="219">
        <f t="shared" si="10"/>
        <v>0.5126106302441813</v>
      </c>
      <c r="J37" s="218">
        <f t="shared" si="10"/>
        <v>693.322</v>
      </c>
      <c r="K37" s="219">
        <f t="shared" si="10"/>
        <v>0.20721753959884215</v>
      </c>
      <c r="L37" s="218">
        <f t="shared" si="10"/>
        <v>401.47300000000007</v>
      </c>
      <c r="M37" s="219">
        <f t="shared" si="10"/>
        <v>9.4385999999999998E-2</v>
      </c>
      <c r="N37" s="218">
        <f t="shared" si="10"/>
        <v>28.573619398538394</v>
      </c>
      <c r="O37" s="238">
        <f t="shared" si="10"/>
        <v>1.3122500000000001</v>
      </c>
    </row>
    <row r="38" spans="1:15" ht="13.5" hidden="1" customHeight="1" outlineLevel="1">
      <c r="B38" s="42"/>
      <c r="C38" s="144"/>
      <c r="D38" s="196"/>
      <c r="E38" s="179" t="s">
        <v>141</v>
      </c>
      <c r="F38" s="177"/>
      <c r="G38" s="216">
        <f>MIN(G30:G33)</f>
        <v>151.79900000000001</v>
      </c>
      <c r="H38" s="216">
        <f t="shared" ref="H38:O38" si="11">MIN(H30:H33)</f>
        <v>76.131</v>
      </c>
      <c r="I38" s="217">
        <f t="shared" si="11"/>
        <v>0.42268182440761537</v>
      </c>
      <c r="J38" s="216">
        <f t="shared" si="11"/>
        <v>16.495999999999999</v>
      </c>
      <c r="K38" s="217">
        <f t="shared" si="11"/>
        <v>0.10867001758904866</v>
      </c>
      <c r="L38" s="216">
        <f t="shared" si="11"/>
        <v>6.5960000000000001</v>
      </c>
      <c r="M38" s="217">
        <f t="shared" si="11"/>
        <v>2.5633E-2</v>
      </c>
      <c r="N38" s="216">
        <f t="shared" si="11"/>
        <v>2.8347908026006672</v>
      </c>
      <c r="O38" s="239">
        <f t="shared" si="11"/>
        <v>0.78656999999999999</v>
      </c>
    </row>
    <row r="39" spans="1:15" ht="13.5" hidden="1" customHeight="1" outlineLevel="1">
      <c r="B39" s="42"/>
      <c r="C39" s="144"/>
      <c r="D39" s="196"/>
      <c r="E39" s="157"/>
      <c r="F39" s="196"/>
      <c r="G39" s="196"/>
      <c r="H39" s="196"/>
      <c r="I39" s="157"/>
      <c r="J39" s="196"/>
      <c r="K39" s="157"/>
      <c r="L39" s="196"/>
      <c r="M39" s="225"/>
      <c r="N39" s="195"/>
      <c r="O39" s="224"/>
    </row>
    <row r="40" spans="1:15" ht="13.5" customHeight="1" collapsed="1">
      <c r="B40" s="271" t="s">
        <v>238</v>
      </c>
      <c r="C40" s="144"/>
      <c r="D40" s="196"/>
      <c r="E40" s="157"/>
      <c r="F40" s="196"/>
      <c r="G40" s="196"/>
      <c r="H40" s="196"/>
      <c r="I40" s="157"/>
      <c r="J40" s="196"/>
      <c r="K40" s="157"/>
      <c r="L40" s="196"/>
      <c r="M40" s="225"/>
      <c r="N40" s="195"/>
      <c r="O40" s="224"/>
    </row>
    <row r="41" spans="1:15" ht="13.5" customHeight="1">
      <c r="A41" s="1" t="s">
        <v>259</v>
      </c>
      <c r="B41" s="42" t="s">
        <v>258</v>
      </c>
      <c r="C41" s="144">
        <v>19.3</v>
      </c>
      <c r="D41" s="196">
        <v>31.96</v>
      </c>
      <c r="E41" s="157">
        <v>0.39612015018773467</v>
      </c>
      <c r="F41" s="196">
        <v>1098.6041600000001</v>
      </c>
      <c r="G41" s="196">
        <v>121.315</v>
      </c>
      <c r="H41" s="196">
        <v>112.557</v>
      </c>
      <c r="I41" s="157">
        <v>0.92780777315253682</v>
      </c>
      <c r="J41" s="196">
        <v>-11.308999999999999</v>
      </c>
      <c r="K41" s="157">
        <v>-9.3220129415158878E-2</v>
      </c>
      <c r="L41" s="196">
        <v>-16.459</v>
      </c>
      <c r="M41" s="225" t="s">
        <v>233</v>
      </c>
      <c r="N41" s="195" t="s">
        <v>233</v>
      </c>
      <c r="O41" s="224" t="s">
        <v>233</v>
      </c>
    </row>
    <row r="42" spans="1:15" ht="13.5" customHeight="1">
      <c r="A42" s="1" t="s">
        <v>257</v>
      </c>
      <c r="B42" s="42" t="s">
        <v>256</v>
      </c>
      <c r="C42" s="144">
        <v>18.420000000000002</v>
      </c>
      <c r="D42" s="196">
        <v>31.66</v>
      </c>
      <c r="E42" s="157">
        <v>0.41819330385344278</v>
      </c>
      <c r="F42" s="196">
        <v>233.03942000000001</v>
      </c>
      <c r="G42" s="196">
        <v>149.29599999999999</v>
      </c>
      <c r="H42" s="196">
        <v>133.94399999999999</v>
      </c>
      <c r="I42" s="157">
        <v>0.89717072125174147</v>
      </c>
      <c r="J42" s="196">
        <v>34.4</v>
      </c>
      <c r="K42" s="157">
        <v>0.2304147465437788</v>
      </c>
      <c r="L42" s="196">
        <v>32.307000000000002</v>
      </c>
      <c r="M42" s="225">
        <v>9.1069999999999988E-3</v>
      </c>
      <c r="N42" s="195">
        <v>171.39805214366547</v>
      </c>
      <c r="O42" s="224">
        <v>1.6129899999999999</v>
      </c>
    </row>
    <row r="43" spans="1:15" ht="13.5" customHeight="1">
      <c r="A43" s="1" t="s">
        <v>255</v>
      </c>
      <c r="B43" s="42" t="s">
        <v>254</v>
      </c>
      <c r="C43" s="144">
        <v>113.45</v>
      </c>
      <c r="D43" s="196">
        <v>125.5</v>
      </c>
      <c r="E43" s="157">
        <v>9.6015936254980061E-2</v>
      </c>
      <c r="F43" s="196">
        <v>11513.39651</v>
      </c>
      <c r="G43" s="196">
        <v>836.43200000000002</v>
      </c>
      <c r="H43" s="196">
        <v>722.98800000000006</v>
      </c>
      <c r="I43" s="157">
        <v>0.86437152093654956</v>
      </c>
      <c r="J43" s="196">
        <v>104.108</v>
      </c>
      <c r="K43" s="157">
        <v>0.12446678271515198</v>
      </c>
      <c r="L43" s="196">
        <v>40.171999999999997</v>
      </c>
      <c r="M43" s="225">
        <v>0.81618799999999991</v>
      </c>
      <c r="N43" s="195">
        <v>16.864855199985918</v>
      </c>
      <c r="O43" s="224">
        <v>1.6527400000000001</v>
      </c>
    </row>
    <row r="44" spans="1:15" ht="13.5" customHeight="1">
      <c r="A44" s="1" t="s">
        <v>253</v>
      </c>
      <c r="B44" s="42" t="s">
        <v>252</v>
      </c>
      <c r="C44" s="144">
        <v>27.98</v>
      </c>
      <c r="D44" s="196">
        <v>45</v>
      </c>
      <c r="E44" s="157">
        <v>0.37822222222222224</v>
      </c>
      <c r="F44" s="196">
        <v>51066.636079999997</v>
      </c>
      <c r="G44" s="196">
        <v>4635</v>
      </c>
      <c r="H44" s="196">
        <v>3421</v>
      </c>
      <c r="I44" s="157">
        <v>0.73807982740021572</v>
      </c>
      <c r="J44" s="196">
        <v>1090</v>
      </c>
      <c r="K44" s="157">
        <v>0.23516720604099245</v>
      </c>
      <c r="L44" s="196">
        <v>562</v>
      </c>
      <c r="M44" s="225" t="s">
        <v>233</v>
      </c>
      <c r="N44" s="195" t="s">
        <v>233</v>
      </c>
      <c r="O44" s="224" t="s">
        <v>233</v>
      </c>
    </row>
    <row r="45" spans="1:15" ht="13.5" customHeight="1">
      <c r="A45" s="1" t="s">
        <v>251</v>
      </c>
      <c r="B45" s="42" t="s">
        <v>250</v>
      </c>
      <c r="C45" s="144">
        <v>40.909999999999997</v>
      </c>
      <c r="D45" s="196">
        <v>47.81</v>
      </c>
      <c r="E45" s="157">
        <v>0.14432127170048117</v>
      </c>
      <c r="F45" s="196">
        <v>5704.0482199999997</v>
      </c>
      <c r="G45" s="196">
        <v>731.37099999999998</v>
      </c>
      <c r="H45" s="196">
        <v>720.15499999999997</v>
      </c>
      <c r="I45" s="157">
        <v>0.98466441792195747</v>
      </c>
      <c r="J45" s="196">
        <v>308.024</v>
      </c>
      <c r="K45" s="157">
        <v>0.42115971237579836</v>
      </c>
      <c r="L45" s="196">
        <v>294.52699999999999</v>
      </c>
      <c r="M45" s="225">
        <v>0.19378499999999999</v>
      </c>
      <c r="N45" s="195">
        <v>40.24623836527973</v>
      </c>
      <c r="O45" s="224" t="s">
        <v>233</v>
      </c>
    </row>
    <row r="46" spans="1:15" ht="13.5" customHeight="1">
      <c r="A46" s="1" t="s">
        <v>249</v>
      </c>
      <c r="B46" s="42" t="s">
        <v>248</v>
      </c>
      <c r="C46" s="144">
        <v>696.88</v>
      </c>
      <c r="D46" s="196">
        <v>774.38</v>
      </c>
      <c r="E46" s="157">
        <v>0.10008006405124099</v>
      </c>
      <c r="F46" s="196">
        <v>192266.72052</v>
      </c>
      <c r="G46" s="196">
        <v>47543</v>
      </c>
      <c r="H46" s="196">
        <v>28549</v>
      </c>
      <c r="I46" s="157">
        <v>0.60048797930294684</v>
      </c>
      <c r="J46" s="196">
        <v>15851</v>
      </c>
      <c r="K46" s="157">
        <v>0.33340344530214755</v>
      </c>
      <c r="L46" s="196">
        <v>13339</v>
      </c>
      <c r="M46" s="225">
        <v>0.38582099999999997</v>
      </c>
      <c r="N46" s="195">
        <v>10.481698751316827</v>
      </c>
      <c r="O46" s="224">
        <v>0.97529999999999994</v>
      </c>
    </row>
    <row r="47" spans="1:15" ht="13.5" customHeight="1">
      <c r="B47" s="42"/>
      <c r="C47" s="194"/>
      <c r="D47" s="193"/>
      <c r="E47" s="193"/>
      <c r="F47" s="193"/>
      <c r="G47" s="193"/>
      <c r="H47" s="192"/>
      <c r="I47" s="49"/>
      <c r="J47" s="193"/>
      <c r="K47" s="193"/>
      <c r="L47" s="193"/>
      <c r="M47" s="222"/>
      <c r="N47" s="223"/>
      <c r="O47" s="222"/>
    </row>
    <row r="48" spans="1:15" ht="13.5" hidden="1" customHeight="1" outlineLevel="1">
      <c r="B48" s="180"/>
      <c r="C48" s="186"/>
      <c r="D48" s="173"/>
      <c r="E48" s="190" t="s">
        <v>140</v>
      </c>
      <c r="F48" s="188"/>
      <c r="G48" s="220">
        <f>MAX(G41:G46)</f>
        <v>47543</v>
      </c>
      <c r="H48" s="220">
        <f t="shared" ref="H48:O48" si="12">MAX(H41:H46)</f>
        <v>28549</v>
      </c>
      <c r="I48" s="221">
        <f t="shared" si="12"/>
        <v>0.98466441792195747</v>
      </c>
      <c r="J48" s="220">
        <f t="shared" si="12"/>
        <v>15851</v>
      </c>
      <c r="K48" s="221">
        <f t="shared" si="12"/>
        <v>0.42115971237579836</v>
      </c>
      <c r="L48" s="220">
        <f t="shared" si="12"/>
        <v>13339</v>
      </c>
      <c r="M48" s="221">
        <f t="shared" si="12"/>
        <v>0.81618799999999991</v>
      </c>
      <c r="N48" s="220">
        <f t="shared" si="12"/>
        <v>171.39805214366547</v>
      </c>
      <c r="O48" s="237">
        <f t="shared" si="12"/>
        <v>1.6527400000000001</v>
      </c>
    </row>
    <row r="49" spans="1:15" ht="13.5" hidden="1" customHeight="1" outlineLevel="1">
      <c r="B49" s="180"/>
      <c r="C49" s="186"/>
      <c r="D49" s="173"/>
      <c r="E49" s="185" t="s">
        <v>146</v>
      </c>
      <c r="F49" s="182"/>
      <c r="G49" s="218">
        <f>AVERAGE(G41:G46)</f>
        <v>9002.7356666666656</v>
      </c>
      <c r="H49" s="218">
        <f t="shared" ref="H49:O49" si="13">AVERAGE(H41:H46)</f>
        <v>5609.9406666666664</v>
      </c>
      <c r="I49" s="219">
        <f t="shared" si="13"/>
        <v>0.8354303733276579</v>
      </c>
      <c r="J49" s="218">
        <f t="shared" si="13"/>
        <v>2896.0371666666665</v>
      </c>
      <c r="K49" s="219">
        <f t="shared" si="13"/>
        <v>0.20856529392711839</v>
      </c>
      <c r="L49" s="218">
        <f t="shared" si="13"/>
        <v>2375.2578333333336</v>
      </c>
      <c r="M49" s="219">
        <f t="shared" si="13"/>
        <v>0.35122524999999993</v>
      </c>
      <c r="N49" s="218">
        <f t="shared" si="13"/>
        <v>59.747711115061989</v>
      </c>
      <c r="O49" s="238">
        <f t="shared" si="13"/>
        <v>1.4136766666666667</v>
      </c>
    </row>
    <row r="50" spans="1:15" ht="13.5" hidden="1" customHeight="1" outlineLevel="1">
      <c r="B50" s="175"/>
      <c r="C50" s="174"/>
      <c r="D50" s="175"/>
      <c r="E50" s="184" t="s">
        <v>239</v>
      </c>
      <c r="F50" s="183"/>
      <c r="G50" s="218">
        <f>MEDIAN(G41:G46)</f>
        <v>783.90149999999994</v>
      </c>
      <c r="H50" s="218">
        <f t="shared" ref="H50:O50" si="14">MEDIAN(H41:H46)</f>
        <v>721.57150000000001</v>
      </c>
      <c r="I50" s="219">
        <f t="shared" si="14"/>
        <v>0.88077112109414557</v>
      </c>
      <c r="J50" s="218">
        <f t="shared" si="14"/>
        <v>206.066</v>
      </c>
      <c r="K50" s="219">
        <f t="shared" si="14"/>
        <v>0.23279097629238563</v>
      </c>
      <c r="L50" s="218">
        <f t="shared" si="14"/>
        <v>167.34949999999998</v>
      </c>
      <c r="M50" s="219">
        <f t="shared" si="14"/>
        <v>0.28980299999999998</v>
      </c>
      <c r="N50" s="218">
        <f t="shared" si="14"/>
        <v>28.555546782632824</v>
      </c>
      <c r="O50" s="238">
        <f t="shared" si="14"/>
        <v>1.6129899999999999</v>
      </c>
    </row>
    <row r="51" spans="1:15" ht="13.5" hidden="1" customHeight="1" outlineLevel="1">
      <c r="B51" s="180"/>
      <c r="C51" s="174"/>
      <c r="D51" s="173"/>
      <c r="E51" s="179" t="s">
        <v>141</v>
      </c>
      <c r="F51" s="177"/>
      <c r="G51" s="216">
        <f>MIN(G41:G46)</f>
        <v>121.315</v>
      </c>
      <c r="H51" s="216">
        <f t="shared" ref="H51:O51" si="15">MIN(H41:H46)</f>
        <v>112.557</v>
      </c>
      <c r="I51" s="217">
        <f t="shared" si="15"/>
        <v>0.60048797930294684</v>
      </c>
      <c r="J51" s="216">
        <f t="shared" si="15"/>
        <v>-11.308999999999999</v>
      </c>
      <c r="K51" s="217">
        <f t="shared" si="15"/>
        <v>-9.3220129415158878E-2</v>
      </c>
      <c r="L51" s="216">
        <f t="shared" si="15"/>
        <v>-16.459</v>
      </c>
      <c r="M51" s="217">
        <f t="shared" si="15"/>
        <v>9.1069999999999988E-3</v>
      </c>
      <c r="N51" s="216">
        <f t="shared" si="15"/>
        <v>10.481698751316827</v>
      </c>
      <c r="O51" s="239">
        <f t="shared" si="15"/>
        <v>0.97529999999999994</v>
      </c>
    </row>
    <row r="52" spans="1:15" ht="13.5" hidden="1" customHeight="1" outlineLevel="1">
      <c r="B52" s="175"/>
      <c r="C52" s="174"/>
      <c r="D52" s="173"/>
      <c r="E52" s="173"/>
      <c r="F52" s="173"/>
      <c r="G52" s="215"/>
      <c r="H52" s="215"/>
      <c r="I52" s="215"/>
      <c r="J52" s="215"/>
      <c r="K52" s="215"/>
      <c r="L52" s="215"/>
      <c r="M52" s="215"/>
      <c r="N52" s="214"/>
      <c r="O52" s="214"/>
    </row>
    <row r="53" spans="1:15" s="166" customFormat="1" ht="13.5" customHeight="1" collapsed="1">
      <c r="A53" s="166" t="s">
        <v>247</v>
      </c>
      <c r="B53" s="171" t="s">
        <v>246</v>
      </c>
      <c r="C53" s="213">
        <v>7.95</v>
      </c>
      <c r="D53" s="211">
        <v>26</v>
      </c>
      <c r="E53" s="212">
        <v>0.69423076923076921</v>
      </c>
      <c r="F53" s="211">
        <v>1271.6012000000001</v>
      </c>
      <c r="G53" s="168">
        <v>383.38200000000001</v>
      </c>
      <c r="H53" s="168">
        <v>123.712</v>
      </c>
      <c r="I53" s="210">
        <v>0.32268598943090704</v>
      </c>
      <c r="J53" s="168">
        <v>-24.736000000000001</v>
      </c>
      <c r="K53" s="210">
        <v>-6.4520504353360361E-2</v>
      </c>
      <c r="L53" s="168">
        <v>-31.350999999999999</v>
      </c>
      <c r="M53" s="210">
        <v>0.54723599999999994</v>
      </c>
      <c r="N53" s="209">
        <v>6.0610037212827459</v>
      </c>
      <c r="O53" s="208">
        <v>1.1667000000000001</v>
      </c>
    </row>
    <row r="54" spans="1:15" ht="13.5" customHeight="1">
      <c r="D54" s="24"/>
      <c r="E54" s="24"/>
      <c r="F54" s="24"/>
      <c r="G54" s="24"/>
      <c r="H54" s="24"/>
      <c r="I54" s="24"/>
      <c r="J54" s="24"/>
      <c r="K54" s="24"/>
      <c r="L54" s="24"/>
      <c r="M54" s="24"/>
      <c r="O54" s="24"/>
    </row>
    <row r="55" spans="1:15" ht="13.5" customHeight="1">
      <c r="D55" s="24"/>
      <c r="E55" s="24"/>
      <c r="F55" s="24"/>
      <c r="G55" s="24"/>
      <c r="H55" s="24"/>
      <c r="I55" s="24"/>
      <c r="J55" s="24"/>
      <c r="K55" s="24"/>
      <c r="L55" s="24"/>
      <c r="M55" s="24"/>
      <c r="O55" s="24"/>
    </row>
    <row r="56" spans="1:15" ht="13.5" customHeight="1">
      <c r="D56" s="24"/>
      <c r="E56" s="24"/>
      <c r="F56" s="24"/>
      <c r="G56" s="24"/>
      <c r="H56" s="24"/>
      <c r="I56" s="24"/>
      <c r="J56" s="24"/>
      <c r="K56" s="24"/>
      <c r="L56" s="24"/>
      <c r="M56" s="24"/>
      <c r="O56" s="24"/>
    </row>
    <row r="57" spans="1:15" ht="13.5" customHeight="1">
      <c r="D57" s="24"/>
      <c r="E57" s="24"/>
      <c r="F57" s="24"/>
      <c r="G57" s="24"/>
      <c r="H57" s="24"/>
      <c r="I57" s="24"/>
      <c r="J57" s="24"/>
      <c r="K57" s="24"/>
      <c r="L57" s="24"/>
      <c r="M57" s="24"/>
      <c r="O57" s="24"/>
    </row>
    <row r="58" spans="1:15" ht="13.5" customHeight="1">
      <c r="D58" s="24"/>
      <c r="E58" s="24"/>
      <c r="G58" s="24"/>
      <c r="H58" s="24"/>
      <c r="I58" s="24"/>
      <c r="J58" s="24"/>
      <c r="K58" s="24"/>
      <c r="L58" s="24"/>
      <c r="M58" s="24"/>
      <c r="O58" s="24"/>
    </row>
  </sheetData>
  <pageMargins left="0.7" right="0.7" top="0.75" bottom="0.75" header="0.3" footer="0.3"/>
  <pageSetup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8"/>
  <sheetViews>
    <sheetView showGridLines="0" view="pageBreakPreview" zoomScale="70" zoomScaleNormal="100" zoomScaleSheetLayoutView="70" workbookViewId="0">
      <selection activeCell="B68" sqref="B68"/>
    </sheetView>
  </sheetViews>
  <sheetFormatPr defaultRowHeight="15" outlineLevelCol="1"/>
  <cols>
    <col min="1" max="1" width="9.140625" style="1" bestFit="1" customWidth="1"/>
    <col min="2" max="2" width="30.42578125" style="1" bestFit="1" customWidth="1"/>
    <col min="3" max="4" width="10.7109375" style="1" hidden="1" customWidth="1" outlineLevel="1"/>
    <col min="5" max="5" width="11.140625" style="1" hidden="1" customWidth="1" outlineLevel="1"/>
    <col min="6" max="7" width="11.140625" hidden="1" customWidth="1" outlineLevel="1"/>
    <col min="8" max="8" width="11.140625" style="1" hidden="1" customWidth="1" outlineLevel="1"/>
    <col min="9" max="9" width="9.7109375" style="1" bestFit="1" customWidth="1" collapsed="1"/>
    <col min="10" max="12" width="7.85546875" style="1" bestFit="1" customWidth="1"/>
    <col min="13" max="15" width="9.5703125" style="1" customWidth="1"/>
    <col min="16" max="16" width="11.140625" style="1" customWidth="1"/>
    <col min="17" max="28" width="9.28515625" style="1" bestFit="1" customWidth="1"/>
    <col min="29" max="16384" width="9.140625" style="1"/>
  </cols>
  <sheetData>
    <row r="1" spans="1:93" s="201" customFormat="1" ht="12.75">
      <c r="A1" s="207">
        <v>41255</v>
      </c>
      <c r="B1" s="202"/>
      <c r="C1" s="206" t="s">
        <v>312</v>
      </c>
      <c r="D1" s="227"/>
      <c r="E1" s="227"/>
      <c r="F1" s="227"/>
      <c r="G1" s="227"/>
      <c r="H1" s="203"/>
      <c r="I1" s="203" t="s">
        <v>313</v>
      </c>
      <c r="J1" s="203"/>
      <c r="K1" s="203"/>
      <c r="L1" s="203"/>
      <c r="M1" s="206" t="s">
        <v>314</v>
      </c>
      <c r="N1" s="227"/>
      <c r="O1" s="227"/>
      <c r="P1" s="203"/>
      <c r="Q1" s="206" t="s">
        <v>315</v>
      </c>
      <c r="R1" s="227"/>
      <c r="S1" s="227"/>
      <c r="T1" s="203"/>
      <c r="U1" s="206" t="s">
        <v>316</v>
      </c>
      <c r="V1" s="227"/>
      <c r="W1" s="227"/>
      <c r="X1" s="203"/>
      <c r="Y1" s="206" t="s">
        <v>317</v>
      </c>
      <c r="Z1" s="227"/>
      <c r="AA1" s="227"/>
      <c r="AB1" s="203"/>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s="200" customFormat="1" ht="12.75">
      <c r="A2" s="200" t="s">
        <v>296</v>
      </c>
      <c r="B2" s="200" t="s">
        <v>295</v>
      </c>
      <c r="C2" s="200" t="s">
        <v>318</v>
      </c>
      <c r="D2" s="200" t="s">
        <v>319</v>
      </c>
      <c r="E2" s="200" t="s">
        <v>320</v>
      </c>
      <c r="F2" s="200" t="s">
        <v>321</v>
      </c>
      <c r="G2" s="200" t="s">
        <v>322</v>
      </c>
      <c r="H2" s="200" t="s">
        <v>323</v>
      </c>
      <c r="I2" s="200" t="s">
        <v>319</v>
      </c>
      <c r="J2" s="200" t="s">
        <v>320</v>
      </c>
      <c r="K2" s="200" t="s">
        <v>321</v>
      </c>
      <c r="L2" s="200" t="s">
        <v>323</v>
      </c>
      <c r="M2" s="200" t="s">
        <v>319</v>
      </c>
      <c r="N2" s="200" t="s">
        <v>320</v>
      </c>
      <c r="O2" s="200" t="s">
        <v>321</v>
      </c>
      <c r="P2" s="200" t="s">
        <v>323</v>
      </c>
      <c r="Q2" s="200" t="s">
        <v>319</v>
      </c>
      <c r="R2" s="200" t="s">
        <v>320</v>
      </c>
      <c r="S2" s="200" t="s">
        <v>321</v>
      </c>
      <c r="T2" s="200" t="s">
        <v>323</v>
      </c>
      <c r="U2" s="200" t="s">
        <v>319</v>
      </c>
      <c r="V2" s="200" t="s">
        <v>320</v>
      </c>
      <c r="W2" s="200" t="s">
        <v>321</v>
      </c>
      <c r="X2" s="200" t="s">
        <v>323</v>
      </c>
      <c r="Y2" s="200" t="s">
        <v>319</v>
      </c>
      <c r="Z2" s="200" t="s">
        <v>320</v>
      </c>
      <c r="AA2" s="200" t="s">
        <v>321</v>
      </c>
      <c r="AB2" s="200" t="s">
        <v>323</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13.5" customHeight="1">
      <c r="B3" s="199" t="s">
        <v>36</v>
      </c>
      <c r="C3" s="199"/>
      <c r="M3" s="240"/>
      <c r="Q3" s="240"/>
      <c r="U3" s="240"/>
      <c r="Y3" s="240"/>
      <c r="AC3" s="241"/>
    </row>
    <row r="4" spans="1:93" ht="13.5" customHeight="1">
      <c r="B4" s="199"/>
      <c r="C4" s="199"/>
      <c r="M4" s="241"/>
      <c r="Q4" s="241"/>
      <c r="U4" s="241"/>
      <c r="Y4" s="241"/>
      <c r="AC4" s="241"/>
    </row>
    <row r="5" spans="1:93" ht="13.5" customHeight="1">
      <c r="B5" s="197" t="s">
        <v>242</v>
      </c>
      <c r="C5" s="199"/>
      <c r="M5" s="241"/>
      <c r="Q5" s="241"/>
      <c r="U5" s="241"/>
      <c r="Y5" s="241"/>
      <c r="AC5" s="241"/>
    </row>
    <row r="6" spans="1:93" ht="13.5" customHeight="1">
      <c r="A6" s="1" t="s">
        <v>285</v>
      </c>
      <c r="B6" s="42" t="s">
        <v>284</v>
      </c>
      <c r="C6" s="198">
        <v>1205.3399999999999</v>
      </c>
      <c r="D6" s="198">
        <v>1364.6610000000001</v>
      </c>
      <c r="E6" s="198">
        <v>1670.269</v>
      </c>
      <c r="F6" s="198">
        <v>2162.625</v>
      </c>
      <c r="G6" s="198">
        <v>3456.3679999999999</v>
      </c>
      <c r="H6" s="198">
        <v>3539.6179999999999</v>
      </c>
      <c r="I6" s="49">
        <v>0.13217930210563011</v>
      </c>
      <c r="J6" s="49">
        <v>0.22394426161515568</v>
      </c>
      <c r="K6" s="49">
        <v>0.2947764701374449</v>
      </c>
      <c r="L6" s="49">
        <v>2.408597695615744E-2</v>
      </c>
      <c r="M6" s="242">
        <v>454.42700000000002</v>
      </c>
      <c r="N6" s="243">
        <v>590.99800000000005</v>
      </c>
      <c r="O6" s="243">
        <v>805.27</v>
      </c>
      <c r="P6" s="244">
        <v>1034.4639999999999</v>
      </c>
      <c r="Q6" s="242">
        <v>-153.21100000000001</v>
      </c>
      <c r="R6" s="245">
        <v>-135.255</v>
      </c>
      <c r="S6" s="245">
        <v>-99.652000000000001</v>
      </c>
      <c r="T6" s="245">
        <v>-171.56</v>
      </c>
      <c r="U6" s="242">
        <v>-43.79</v>
      </c>
      <c r="V6" s="243">
        <v>-45.932000000000002</v>
      </c>
      <c r="W6" s="243">
        <v>-33.837000000000003</v>
      </c>
      <c r="X6" s="243">
        <v>-32.948999999999998</v>
      </c>
      <c r="Y6" s="242">
        <v>32.454000000000001</v>
      </c>
      <c r="Z6" s="243">
        <v>38.043999999999997</v>
      </c>
      <c r="AA6" s="243">
        <v>38.098999999999997</v>
      </c>
      <c r="AB6" s="243">
        <v>45.332000000000001</v>
      </c>
      <c r="AC6" s="241"/>
    </row>
    <row r="7" spans="1:93" ht="13.5" customHeight="1">
      <c r="A7" s="1" t="s">
        <v>283</v>
      </c>
      <c r="B7" s="42" t="s">
        <v>150</v>
      </c>
      <c r="C7" s="198">
        <v>14835</v>
      </c>
      <c r="D7" s="198">
        <v>19166</v>
      </c>
      <c r="E7" s="198">
        <v>24509</v>
      </c>
      <c r="F7" s="198">
        <v>34204</v>
      </c>
      <c r="G7" s="198">
        <v>54326</v>
      </c>
      <c r="H7" s="198">
        <v>57256</v>
      </c>
      <c r="I7" s="49">
        <v>0.29194472531176263</v>
      </c>
      <c r="J7" s="49">
        <v>0.27877491391004905</v>
      </c>
      <c r="K7" s="49">
        <v>0.39556897466236896</v>
      </c>
      <c r="L7" s="49">
        <v>5.3933659757758656E-2</v>
      </c>
      <c r="M7" s="242">
        <v>4270</v>
      </c>
      <c r="N7" s="243">
        <v>5531</v>
      </c>
      <c r="O7" s="243">
        <v>7643</v>
      </c>
      <c r="P7" s="244">
        <v>13591</v>
      </c>
      <c r="Q7" s="242">
        <v>-2257</v>
      </c>
      <c r="R7" s="245">
        <v>-3933</v>
      </c>
      <c r="S7" s="245">
        <v>-5387</v>
      </c>
      <c r="T7" s="245">
        <v>-4735</v>
      </c>
      <c r="U7" s="242">
        <v>-333</v>
      </c>
      <c r="V7" s="243">
        <v>-373</v>
      </c>
      <c r="W7" s="243">
        <v>-979</v>
      </c>
      <c r="X7" s="243">
        <v>-2309</v>
      </c>
      <c r="Y7" s="242">
        <v>115</v>
      </c>
      <c r="Z7" s="243">
        <v>158</v>
      </c>
      <c r="AA7" s="243">
        <v>279</v>
      </c>
      <c r="AB7" s="243">
        <v>1409</v>
      </c>
      <c r="AC7" s="241"/>
    </row>
    <row r="8" spans="1:93" ht="13.5" customHeight="1">
      <c r="B8" s="42"/>
      <c r="C8" s="198"/>
      <c r="D8" s="198"/>
      <c r="E8" s="198"/>
      <c r="F8" s="198"/>
      <c r="G8" s="198"/>
      <c r="H8" s="198"/>
      <c r="I8" s="49"/>
      <c r="J8" s="49"/>
      <c r="K8" s="49"/>
      <c r="L8" s="49"/>
      <c r="M8" s="242"/>
      <c r="N8" s="243"/>
      <c r="O8" s="243"/>
      <c r="P8" s="244"/>
      <c r="Q8" s="242"/>
      <c r="R8" s="245"/>
      <c r="S8" s="245"/>
      <c r="T8" s="245"/>
      <c r="U8" s="242"/>
      <c r="V8" s="243"/>
      <c r="W8" s="243"/>
      <c r="X8" s="243"/>
      <c r="Y8" s="242"/>
      <c r="Z8" s="243"/>
      <c r="AA8" s="243"/>
      <c r="AB8" s="243"/>
      <c r="AC8" s="241"/>
    </row>
    <row r="9" spans="1:93" ht="13.5" customHeight="1">
      <c r="B9" s="246" t="s">
        <v>140</v>
      </c>
      <c r="C9" s="247"/>
      <c r="D9" s="247"/>
      <c r="E9" s="247"/>
      <c r="F9" s="247"/>
      <c r="G9" s="247"/>
      <c r="H9" s="247"/>
      <c r="I9" s="248">
        <f>MAX(I6:I7)</f>
        <v>0.29194472531176263</v>
      </c>
      <c r="J9" s="248">
        <f t="shared" ref="J9:AB9" si="0">MAX(J6:J7)</f>
        <v>0.27877491391004905</v>
      </c>
      <c r="K9" s="248">
        <f t="shared" si="0"/>
        <v>0.39556897466236896</v>
      </c>
      <c r="L9" s="248">
        <f t="shared" si="0"/>
        <v>5.3933659757758656E-2</v>
      </c>
      <c r="M9" s="249">
        <f t="shared" si="0"/>
        <v>4270</v>
      </c>
      <c r="N9" s="250">
        <f t="shared" si="0"/>
        <v>5531</v>
      </c>
      <c r="O9" s="250">
        <f t="shared" si="0"/>
        <v>7643</v>
      </c>
      <c r="P9" s="251">
        <f t="shared" si="0"/>
        <v>13591</v>
      </c>
      <c r="Q9" s="249">
        <f t="shared" si="0"/>
        <v>-153.21100000000001</v>
      </c>
      <c r="R9" s="250">
        <f t="shared" si="0"/>
        <v>-135.255</v>
      </c>
      <c r="S9" s="250">
        <f t="shared" si="0"/>
        <v>-99.652000000000001</v>
      </c>
      <c r="T9" s="250">
        <f t="shared" si="0"/>
        <v>-171.56</v>
      </c>
      <c r="U9" s="249">
        <f t="shared" si="0"/>
        <v>-43.79</v>
      </c>
      <c r="V9" s="250">
        <f t="shared" si="0"/>
        <v>-45.932000000000002</v>
      </c>
      <c r="W9" s="250">
        <f t="shared" si="0"/>
        <v>-33.837000000000003</v>
      </c>
      <c r="X9" s="250">
        <f t="shared" si="0"/>
        <v>-32.948999999999998</v>
      </c>
      <c r="Y9" s="249">
        <f t="shared" si="0"/>
        <v>115</v>
      </c>
      <c r="Z9" s="250">
        <f t="shared" si="0"/>
        <v>158</v>
      </c>
      <c r="AA9" s="250">
        <f t="shared" si="0"/>
        <v>279</v>
      </c>
      <c r="AB9" s="252">
        <f t="shared" si="0"/>
        <v>1409</v>
      </c>
      <c r="AC9" s="241"/>
    </row>
    <row r="10" spans="1:93" ht="13.5" customHeight="1">
      <c r="B10" s="253" t="s">
        <v>146</v>
      </c>
      <c r="C10" s="254"/>
      <c r="D10" s="254"/>
      <c r="E10" s="254"/>
      <c r="F10" s="254"/>
      <c r="G10" s="254"/>
      <c r="H10" s="254"/>
      <c r="I10" s="255">
        <f>AVERAGE(I6:I7)</f>
        <v>0.21206201370869637</v>
      </c>
      <c r="J10" s="255">
        <f t="shared" ref="J10:AB10" si="1">AVERAGE(J6:J7)</f>
        <v>0.25135958776260237</v>
      </c>
      <c r="K10" s="255">
        <f t="shared" si="1"/>
        <v>0.34517272239990693</v>
      </c>
      <c r="L10" s="255">
        <f t="shared" si="1"/>
        <v>3.9009818356958048E-2</v>
      </c>
      <c r="M10" s="242">
        <f t="shared" si="1"/>
        <v>2362.2134999999998</v>
      </c>
      <c r="N10" s="245">
        <f t="shared" si="1"/>
        <v>3060.9989999999998</v>
      </c>
      <c r="O10" s="245">
        <f t="shared" si="1"/>
        <v>4224.1350000000002</v>
      </c>
      <c r="P10" s="256">
        <f t="shared" si="1"/>
        <v>7312.732</v>
      </c>
      <c r="Q10" s="242">
        <f t="shared" si="1"/>
        <v>-1205.1055000000001</v>
      </c>
      <c r="R10" s="245">
        <f t="shared" si="1"/>
        <v>-2034.1275000000001</v>
      </c>
      <c r="S10" s="245">
        <f t="shared" si="1"/>
        <v>-2743.326</v>
      </c>
      <c r="T10" s="245">
        <f t="shared" si="1"/>
        <v>-2453.2800000000002</v>
      </c>
      <c r="U10" s="242">
        <f t="shared" si="1"/>
        <v>-188.39500000000001</v>
      </c>
      <c r="V10" s="245">
        <f t="shared" si="1"/>
        <v>-209.46600000000001</v>
      </c>
      <c r="W10" s="245">
        <f t="shared" si="1"/>
        <v>-506.41849999999999</v>
      </c>
      <c r="X10" s="245">
        <f t="shared" si="1"/>
        <v>-1170.9745</v>
      </c>
      <c r="Y10" s="242">
        <f t="shared" si="1"/>
        <v>73.727000000000004</v>
      </c>
      <c r="Z10" s="245">
        <f t="shared" si="1"/>
        <v>98.021999999999991</v>
      </c>
      <c r="AA10" s="245">
        <f t="shared" si="1"/>
        <v>158.54949999999999</v>
      </c>
      <c r="AB10" s="257">
        <f t="shared" si="1"/>
        <v>727.16600000000005</v>
      </c>
      <c r="AC10" s="241"/>
    </row>
    <row r="11" spans="1:93" ht="13.5" customHeight="1">
      <c r="B11" s="253" t="s">
        <v>239</v>
      </c>
      <c r="C11" s="254"/>
      <c r="D11" s="254"/>
      <c r="E11" s="254"/>
      <c r="F11" s="254"/>
      <c r="G11" s="254"/>
      <c r="H11" s="254"/>
      <c r="I11" s="255">
        <f>MEDIAN(I6:I7)</f>
        <v>0.21206201370869637</v>
      </c>
      <c r="J11" s="255">
        <f t="shared" ref="J11:AB11" si="2">MEDIAN(J6:J7)</f>
        <v>0.25135958776260237</v>
      </c>
      <c r="K11" s="255">
        <f t="shared" si="2"/>
        <v>0.34517272239990693</v>
      </c>
      <c r="L11" s="255">
        <f t="shared" si="2"/>
        <v>3.9009818356958048E-2</v>
      </c>
      <c r="M11" s="242">
        <f t="shared" si="2"/>
        <v>2362.2134999999998</v>
      </c>
      <c r="N11" s="245">
        <f t="shared" si="2"/>
        <v>3060.9990000000003</v>
      </c>
      <c r="O11" s="245">
        <f t="shared" si="2"/>
        <v>4224.1350000000002</v>
      </c>
      <c r="P11" s="256">
        <f t="shared" si="2"/>
        <v>7312.732</v>
      </c>
      <c r="Q11" s="242">
        <f t="shared" si="2"/>
        <v>-1205.1055000000001</v>
      </c>
      <c r="R11" s="245">
        <f t="shared" si="2"/>
        <v>-2034.1275000000001</v>
      </c>
      <c r="S11" s="245">
        <f t="shared" si="2"/>
        <v>-2743.326</v>
      </c>
      <c r="T11" s="245">
        <f t="shared" si="2"/>
        <v>-2453.2800000000002</v>
      </c>
      <c r="U11" s="242">
        <f t="shared" si="2"/>
        <v>-188.39500000000001</v>
      </c>
      <c r="V11" s="245">
        <f t="shared" si="2"/>
        <v>-209.46600000000001</v>
      </c>
      <c r="W11" s="245">
        <f t="shared" si="2"/>
        <v>-506.41849999999999</v>
      </c>
      <c r="X11" s="245">
        <f t="shared" si="2"/>
        <v>-1170.9745</v>
      </c>
      <c r="Y11" s="242">
        <f t="shared" si="2"/>
        <v>73.727000000000004</v>
      </c>
      <c r="Z11" s="245">
        <f t="shared" si="2"/>
        <v>98.021999999999991</v>
      </c>
      <c r="AA11" s="245">
        <f t="shared" si="2"/>
        <v>158.54949999999999</v>
      </c>
      <c r="AB11" s="257">
        <f t="shared" si="2"/>
        <v>727.16599999999994</v>
      </c>
      <c r="AC11" s="241"/>
    </row>
    <row r="12" spans="1:93" ht="13.5" customHeight="1">
      <c r="B12" s="258" t="s">
        <v>141</v>
      </c>
      <c r="C12" s="259"/>
      <c r="D12" s="259"/>
      <c r="E12" s="259"/>
      <c r="F12" s="259"/>
      <c r="G12" s="259"/>
      <c r="H12" s="259"/>
      <c r="I12" s="260">
        <f>MIN(I6:I7)</f>
        <v>0.13217930210563011</v>
      </c>
      <c r="J12" s="260">
        <f t="shared" ref="J12:AB12" si="3">MIN(J6:J7)</f>
        <v>0.22394426161515568</v>
      </c>
      <c r="K12" s="260">
        <f t="shared" si="3"/>
        <v>0.2947764701374449</v>
      </c>
      <c r="L12" s="260">
        <f t="shared" si="3"/>
        <v>2.408597695615744E-2</v>
      </c>
      <c r="M12" s="261">
        <f t="shared" si="3"/>
        <v>454.42700000000002</v>
      </c>
      <c r="N12" s="262">
        <f t="shared" si="3"/>
        <v>590.99800000000005</v>
      </c>
      <c r="O12" s="262">
        <f t="shared" si="3"/>
        <v>805.27</v>
      </c>
      <c r="P12" s="263">
        <f t="shared" si="3"/>
        <v>1034.4639999999999</v>
      </c>
      <c r="Q12" s="261">
        <f t="shared" si="3"/>
        <v>-2257</v>
      </c>
      <c r="R12" s="262">
        <f t="shared" si="3"/>
        <v>-3933</v>
      </c>
      <c r="S12" s="262">
        <f t="shared" si="3"/>
        <v>-5387</v>
      </c>
      <c r="T12" s="262">
        <f t="shared" si="3"/>
        <v>-4735</v>
      </c>
      <c r="U12" s="261">
        <f t="shared" si="3"/>
        <v>-333</v>
      </c>
      <c r="V12" s="262">
        <f t="shared" si="3"/>
        <v>-373</v>
      </c>
      <c r="W12" s="262">
        <f t="shared" si="3"/>
        <v>-979</v>
      </c>
      <c r="X12" s="262">
        <f t="shared" si="3"/>
        <v>-2309</v>
      </c>
      <c r="Y12" s="261">
        <f t="shared" si="3"/>
        <v>32.454000000000001</v>
      </c>
      <c r="Z12" s="262">
        <f t="shared" si="3"/>
        <v>38.043999999999997</v>
      </c>
      <c r="AA12" s="262">
        <f t="shared" si="3"/>
        <v>38.098999999999997</v>
      </c>
      <c r="AB12" s="264">
        <f t="shared" si="3"/>
        <v>45.332000000000001</v>
      </c>
      <c r="AC12" s="241"/>
    </row>
    <row r="13" spans="1:93" ht="13.5" customHeight="1">
      <c r="B13" s="42" t="s">
        <v>324</v>
      </c>
      <c r="C13" s="198"/>
      <c r="D13" s="198"/>
      <c r="E13" s="198"/>
      <c r="F13" s="198"/>
      <c r="G13" s="198"/>
      <c r="H13" s="198"/>
      <c r="I13" s="49"/>
      <c r="J13" s="49"/>
      <c r="K13" s="49"/>
      <c r="L13" s="49"/>
      <c r="M13" s="242"/>
      <c r="N13" s="243"/>
      <c r="O13" s="243"/>
      <c r="P13" s="244"/>
      <c r="Q13" s="242"/>
      <c r="R13" s="245"/>
      <c r="S13" s="245"/>
      <c r="T13" s="245"/>
      <c r="U13" s="242"/>
      <c r="V13" s="243"/>
      <c r="W13" s="243"/>
      <c r="X13" s="243"/>
      <c r="Y13" s="242"/>
      <c r="Z13" s="243"/>
      <c r="AA13" s="243"/>
      <c r="AB13" s="243"/>
      <c r="AC13" s="241"/>
    </row>
    <row r="14" spans="1:93" ht="13.5" customHeight="1">
      <c r="B14" s="197" t="s">
        <v>241</v>
      </c>
      <c r="C14" s="198"/>
      <c r="D14" s="198"/>
      <c r="E14" s="198"/>
      <c r="F14" s="198"/>
      <c r="G14" s="198"/>
      <c r="H14" s="198"/>
      <c r="I14" s="49"/>
      <c r="J14" s="49"/>
      <c r="K14" s="49"/>
      <c r="L14" s="49"/>
      <c r="M14" s="242"/>
      <c r="N14" s="243"/>
      <c r="O14" s="243"/>
      <c r="P14" s="244"/>
      <c r="Q14" s="242"/>
      <c r="R14" s="245"/>
      <c r="S14" s="245"/>
      <c r="T14" s="245"/>
      <c r="U14" s="242"/>
      <c r="V14" s="243"/>
      <c r="W14" s="243"/>
      <c r="X14" s="243"/>
      <c r="Y14" s="242"/>
      <c r="Z14" s="243"/>
      <c r="AA14" s="243"/>
      <c r="AB14" s="243"/>
      <c r="AC14" s="241"/>
    </row>
    <row r="15" spans="1:93" ht="13.5" customHeight="1">
      <c r="A15" s="1" t="s">
        <v>282</v>
      </c>
      <c r="B15" s="42" t="s">
        <v>281</v>
      </c>
      <c r="C15" s="198">
        <v>922.06600000000003</v>
      </c>
      <c r="D15" s="198">
        <v>1663.992</v>
      </c>
      <c r="E15" s="198">
        <v>2472.6379999999999</v>
      </c>
      <c r="F15" s="198">
        <v>2816.9920000000002</v>
      </c>
      <c r="G15" s="198">
        <v>3188.5529999999999</v>
      </c>
      <c r="H15" s="198">
        <v>3293.3629999999998</v>
      </c>
      <c r="I15" s="49">
        <v>0.80463437541347349</v>
      </c>
      <c r="J15" s="49">
        <v>0.48596748061288753</v>
      </c>
      <c r="K15" s="49">
        <v>0.13926583672984094</v>
      </c>
      <c r="L15" s="49">
        <v>3.2870709691825706E-2</v>
      </c>
      <c r="M15" s="242">
        <v>800.54499999999996</v>
      </c>
      <c r="N15" s="243">
        <v>1408.63</v>
      </c>
      <c r="O15" s="243">
        <v>1717.76</v>
      </c>
      <c r="P15" s="244">
        <v>2062.85</v>
      </c>
      <c r="Q15" s="242">
        <v>-1598.8</v>
      </c>
      <c r="R15" s="245">
        <v>-1586.4680000000001</v>
      </c>
      <c r="S15" s="245">
        <v>-1748.81</v>
      </c>
      <c r="T15" s="245">
        <v>-987.85400000000004</v>
      </c>
      <c r="U15" s="242">
        <v>-130.55099999999999</v>
      </c>
      <c r="V15" s="243">
        <v>-248.511</v>
      </c>
      <c r="W15" s="243">
        <v>-311.86799999999999</v>
      </c>
      <c r="X15" s="243">
        <v>-95.91</v>
      </c>
      <c r="Y15" s="242">
        <v>167.96299999999999</v>
      </c>
      <c r="Z15" s="243">
        <v>232.863</v>
      </c>
      <c r="AA15" s="243">
        <v>207.36699999999999</v>
      </c>
      <c r="AB15" s="243">
        <v>211.50399999999999</v>
      </c>
      <c r="AC15" s="241"/>
    </row>
    <row r="16" spans="1:93" ht="13.5" customHeight="1">
      <c r="A16" s="1" t="s">
        <v>280</v>
      </c>
      <c r="B16" s="42" t="s">
        <v>279</v>
      </c>
      <c r="C16" s="198">
        <v>468.351</v>
      </c>
      <c r="D16" s="198">
        <v>438.822</v>
      </c>
      <c r="E16" s="198">
        <v>372.43200000000002</v>
      </c>
      <c r="F16" s="198">
        <v>391.447</v>
      </c>
      <c r="G16" s="198">
        <v>380.1</v>
      </c>
      <c r="H16" s="198">
        <v>381.96600000000001</v>
      </c>
      <c r="I16" s="49">
        <v>-6.3048867195756975E-2</v>
      </c>
      <c r="J16" s="49">
        <v>-0.1512914120076021</v>
      </c>
      <c r="K16" s="49">
        <v>5.1056300210508221E-2</v>
      </c>
      <c r="L16" s="49">
        <v>4.9092344119967546E-3</v>
      </c>
      <c r="M16" s="242">
        <v>162.63499999999999</v>
      </c>
      <c r="N16" s="243">
        <v>118.39</v>
      </c>
      <c r="O16" s="243">
        <v>132.55099999999999</v>
      </c>
      <c r="P16" s="244">
        <v>130.36500000000001</v>
      </c>
      <c r="Q16" s="242">
        <v>48.515000000000001</v>
      </c>
      <c r="R16" s="245">
        <v>54.991</v>
      </c>
      <c r="S16" s="245">
        <v>55.463999999999999</v>
      </c>
      <c r="T16" s="245">
        <v>49.792999999999999</v>
      </c>
      <c r="U16" s="242">
        <v>-8.5530000000000008</v>
      </c>
      <c r="V16" s="243">
        <v>-2.4670000000000001</v>
      </c>
      <c r="W16" s="243">
        <v>-2.7440000000000002</v>
      </c>
      <c r="X16" s="243">
        <v>-3.4590000000000001</v>
      </c>
      <c r="Y16" s="242">
        <v>16.303999999999998</v>
      </c>
      <c r="Z16" s="243">
        <v>15.06</v>
      </c>
      <c r="AA16" s="243">
        <v>11.363</v>
      </c>
      <c r="AB16" s="243">
        <v>10.032</v>
      </c>
      <c r="AC16" s="241"/>
    </row>
    <row r="17" spans="1:29" ht="13.5" customHeight="1">
      <c r="A17" s="1" t="s">
        <v>278</v>
      </c>
      <c r="B17" s="42" t="s">
        <v>277</v>
      </c>
      <c r="C17" s="198">
        <v>144.023</v>
      </c>
      <c r="D17" s="198">
        <v>139.95599999999999</v>
      </c>
      <c r="E17" s="198">
        <v>120.798</v>
      </c>
      <c r="F17" s="198">
        <v>127.81699999999999</v>
      </c>
      <c r="G17" s="198">
        <v>128.59200000000001</v>
      </c>
      <c r="H17" s="198">
        <v>128.97399999999999</v>
      </c>
      <c r="I17" s="49">
        <v>-2.8238545232358803E-2</v>
      </c>
      <c r="J17" s="49">
        <v>-0.13688587841893163</v>
      </c>
      <c r="K17" s="49">
        <v>5.8105266643487363E-2</v>
      </c>
      <c r="L17" s="49">
        <v>2.9706358093815055E-3</v>
      </c>
      <c r="M17" s="242">
        <v>34.151000000000003</v>
      </c>
      <c r="N17" s="243">
        <v>26.151</v>
      </c>
      <c r="O17" s="243">
        <v>35.063000000000002</v>
      </c>
      <c r="P17" s="244">
        <v>37.003</v>
      </c>
      <c r="Q17" s="242">
        <v>13.446</v>
      </c>
      <c r="R17" s="245">
        <v>11.932</v>
      </c>
      <c r="S17" s="245">
        <v>11.047000000000001</v>
      </c>
      <c r="T17" s="245">
        <v>11.678000000000001</v>
      </c>
      <c r="U17" s="242">
        <v>-7.1269999999999998</v>
      </c>
      <c r="V17" s="243">
        <v>-4.0410000000000004</v>
      </c>
      <c r="W17" s="243">
        <v>-4.3479999999999999</v>
      </c>
      <c r="X17" s="243">
        <v>-5.3410000000000002</v>
      </c>
      <c r="Y17" s="242">
        <v>8.8330000000000002</v>
      </c>
      <c r="Z17" s="243">
        <v>8.5609999999999999</v>
      </c>
      <c r="AA17" s="243">
        <v>7.6689999999999996</v>
      </c>
      <c r="AB17" s="243">
        <v>7.2830000000000004</v>
      </c>
      <c r="AC17" s="241"/>
    </row>
    <row r="18" spans="1:29" ht="13.5" customHeight="1">
      <c r="A18" s="1" t="s">
        <v>276</v>
      </c>
      <c r="B18" s="42" t="s">
        <v>275</v>
      </c>
      <c r="C18" s="198">
        <v>162.26599999999999</v>
      </c>
      <c r="D18" s="198">
        <v>173.791</v>
      </c>
      <c r="E18" s="198">
        <v>132.374</v>
      </c>
      <c r="F18" s="198">
        <v>174.40199999999999</v>
      </c>
      <c r="G18" s="198">
        <v>162.268</v>
      </c>
      <c r="H18" s="198">
        <v>162.46299999999999</v>
      </c>
      <c r="I18" s="49">
        <v>7.10253534320191E-2</v>
      </c>
      <c r="J18" s="49">
        <v>-0.23831498754250802</v>
      </c>
      <c r="K18" s="49">
        <v>0.31749437200658726</v>
      </c>
      <c r="L18" s="49">
        <v>1.2017156802326401E-3</v>
      </c>
      <c r="M18" s="242">
        <v>103.98099999999999</v>
      </c>
      <c r="N18" s="243">
        <v>67.561000000000007</v>
      </c>
      <c r="O18" s="243">
        <v>103.786</v>
      </c>
      <c r="P18" s="244">
        <v>95.81</v>
      </c>
      <c r="Q18" s="242">
        <v>13.372999999999999</v>
      </c>
      <c r="R18" s="245">
        <v>32.545000000000002</v>
      </c>
      <c r="S18" s="245">
        <v>19.077999999999999</v>
      </c>
      <c r="T18" s="245">
        <v>-76.222999999999999</v>
      </c>
      <c r="U18" s="242">
        <v>-10.291</v>
      </c>
      <c r="V18" s="243">
        <v>-11.581</v>
      </c>
      <c r="W18" s="243">
        <v>-9.99</v>
      </c>
      <c r="X18" s="243">
        <v>-10.63</v>
      </c>
      <c r="Y18" s="242">
        <v>12.458</v>
      </c>
      <c r="Z18" s="243">
        <v>13.433999999999999</v>
      </c>
      <c r="AA18" s="243">
        <v>14.156000000000001</v>
      </c>
      <c r="AB18" s="243">
        <v>6.66</v>
      </c>
      <c r="AC18" s="241"/>
    </row>
    <row r="19" spans="1:29" ht="13.5" customHeight="1">
      <c r="A19" s="1" t="s">
        <v>274</v>
      </c>
      <c r="B19" s="42" t="s">
        <v>273</v>
      </c>
      <c r="C19" s="198">
        <v>266.80099999999999</v>
      </c>
      <c r="D19" s="198">
        <v>284.91899999999998</v>
      </c>
      <c r="E19" s="198">
        <v>251.97900000000001</v>
      </c>
      <c r="F19" s="198">
        <v>313.35000000000002</v>
      </c>
      <c r="G19" s="198">
        <v>333.54700000000003</v>
      </c>
      <c r="H19" s="198">
        <v>348.66</v>
      </c>
      <c r="I19" s="49">
        <v>6.7908291198308879E-2</v>
      </c>
      <c r="J19" s="49">
        <v>-0.11561180546049921</v>
      </c>
      <c r="K19" s="49">
        <v>0.24355601061993259</v>
      </c>
      <c r="L19" s="49">
        <v>4.5309956318000166E-2</v>
      </c>
      <c r="M19" s="242">
        <v>206.63200000000001</v>
      </c>
      <c r="N19" s="243">
        <v>174.74600000000001</v>
      </c>
      <c r="O19" s="243">
        <v>235.02799999999999</v>
      </c>
      <c r="P19" s="244">
        <v>260.70699999999999</v>
      </c>
      <c r="Q19" s="242">
        <v>15.042</v>
      </c>
      <c r="R19" s="245">
        <v>31.207999999999998</v>
      </c>
      <c r="S19" s="245">
        <v>30.963999999999999</v>
      </c>
      <c r="T19" s="245">
        <v>24.369</v>
      </c>
      <c r="U19" s="242">
        <v>-30.792999999999999</v>
      </c>
      <c r="V19" s="243">
        <v>-19.027999999999999</v>
      </c>
      <c r="W19" s="243">
        <v>-13.798999999999999</v>
      </c>
      <c r="X19" s="243">
        <v>-13.531000000000001</v>
      </c>
      <c r="Y19" s="242">
        <v>21.024000000000001</v>
      </c>
      <c r="Z19" s="243">
        <v>21.68</v>
      </c>
      <c r="AA19" s="243">
        <v>21.111999999999998</v>
      </c>
      <c r="AB19" s="243">
        <v>23.151</v>
      </c>
      <c r="AC19" s="241"/>
    </row>
    <row r="20" spans="1:29" ht="13.5" customHeight="1">
      <c r="A20" s="1" t="s">
        <v>272</v>
      </c>
      <c r="B20" s="42" t="s">
        <v>271</v>
      </c>
      <c r="C20" s="198">
        <v>395.91</v>
      </c>
      <c r="D20" s="198">
        <v>399.81400000000002</v>
      </c>
      <c r="E20" s="198">
        <v>327.84199999999998</v>
      </c>
      <c r="F20" s="198">
        <v>408.19</v>
      </c>
      <c r="G20" s="198">
        <v>433.53699999999998</v>
      </c>
      <c r="H20" s="198">
        <v>468.79700000000003</v>
      </c>
      <c r="I20" s="49">
        <v>9.8608269556212935E-3</v>
      </c>
      <c r="J20" s="49">
        <v>-0.1800137063734637</v>
      </c>
      <c r="K20" s="49">
        <v>0.24508147217257092</v>
      </c>
      <c r="L20" s="49">
        <v>8.1331005196788375E-2</v>
      </c>
      <c r="M20" s="242">
        <v>281.33100000000002</v>
      </c>
      <c r="N20" s="243">
        <v>223.31100000000001</v>
      </c>
      <c r="O20" s="243">
        <v>289.03100000000001</v>
      </c>
      <c r="P20" s="244">
        <v>323.19600000000003</v>
      </c>
      <c r="Q20" s="242">
        <v>1.8360000000000001</v>
      </c>
      <c r="R20" s="245">
        <v>24.274999999999999</v>
      </c>
      <c r="S20" s="245">
        <v>28.523</v>
      </c>
      <c r="T20" s="245">
        <v>41.966999999999999</v>
      </c>
      <c r="U20" s="242">
        <v>-28.536999999999999</v>
      </c>
      <c r="V20" s="243">
        <v>-10.097</v>
      </c>
      <c r="W20" s="243">
        <v>-17.449000000000002</v>
      </c>
      <c r="X20" s="243">
        <v>-27.818000000000001</v>
      </c>
      <c r="Y20" s="242">
        <v>29.713000000000001</v>
      </c>
      <c r="Z20" s="243">
        <v>28.638999999999999</v>
      </c>
      <c r="AA20" s="243">
        <v>27.013000000000002</v>
      </c>
      <c r="AB20" s="243">
        <v>27.327000000000002</v>
      </c>
      <c r="AC20" s="241"/>
    </row>
    <row r="21" spans="1:29" ht="13.5" customHeight="1">
      <c r="A21" s="1" t="s">
        <v>270</v>
      </c>
      <c r="B21" s="42" t="s">
        <v>156</v>
      </c>
      <c r="C21" s="198">
        <v>328.327</v>
      </c>
      <c r="D21" s="198">
        <v>311.53800000000001</v>
      </c>
      <c r="E21" s="198">
        <v>256.048</v>
      </c>
      <c r="F21" s="198">
        <v>263.33300000000003</v>
      </c>
      <c r="G21" s="198">
        <v>952.673</v>
      </c>
      <c r="H21" s="198">
        <v>1103.2329999999999</v>
      </c>
      <c r="I21" s="49">
        <v>-5.1134996512623099E-2</v>
      </c>
      <c r="J21" s="49">
        <v>-0.17811631325873567</v>
      </c>
      <c r="K21" s="49">
        <v>2.8451696556895723E-2</v>
      </c>
      <c r="L21" s="49">
        <v>0.15803953717592489</v>
      </c>
      <c r="M21" s="242">
        <v>108.316</v>
      </c>
      <c r="N21" s="243">
        <v>90.372</v>
      </c>
      <c r="O21" s="243">
        <v>103.526</v>
      </c>
      <c r="P21" s="244">
        <v>428.346</v>
      </c>
      <c r="Q21" s="242">
        <v>26.841999999999999</v>
      </c>
      <c r="R21" s="245">
        <v>29.321000000000002</v>
      </c>
      <c r="S21" s="245">
        <v>22.945</v>
      </c>
      <c r="T21" s="245">
        <v>123.128</v>
      </c>
      <c r="U21" s="242">
        <v>-6.069</v>
      </c>
      <c r="V21" s="243">
        <v>-3.11</v>
      </c>
      <c r="W21" s="243">
        <v>-2.4750000000000001</v>
      </c>
      <c r="X21" s="243">
        <v>-8.4600000000000009</v>
      </c>
      <c r="Y21" s="242">
        <v>12.512</v>
      </c>
      <c r="Z21" s="243">
        <v>10.836</v>
      </c>
      <c r="AA21" s="243">
        <v>8.8970000000000002</v>
      </c>
      <c r="AB21" s="243">
        <v>105.694</v>
      </c>
      <c r="AC21" s="241"/>
    </row>
    <row r="22" spans="1:29" ht="13.5" customHeight="1">
      <c r="A22" s="1" t="s">
        <v>269</v>
      </c>
      <c r="B22" s="42" t="s">
        <v>268</v>
      </c>
      <c r="C22" s="198">
        <v>6921.2020000000002</v>
      </c>
      <c r="D22" s="198">
        <v>6688.683</v>
      </c>
      <c r="E22" s="198">
        <v>5551.9089999999997</v>
      </c>
      <c r="F22" s="198">
        <v>5865.6850000000004</v>
      </c>
      <c r="G22" s="198">
        <v>6199.357</v>
      </c>
      <c r="H22" s="198">
        <v>6203.3360000000002</v>
      </c>
      <c r="I22" s="49">
        <v>-3.3595176098024648E-2</v>
      </c>
      <c r="J22" s="49">
        <v>-0.16995483266287259</v>
      </c>
      <c r="K22" s="49">
        <v>5.6516776481747133E-2</v>
      </c>
      <c r="L22" s="49">
        <v>6.4184075864637258E-4</v>
      </c>
      <c r="M22" s="242">
        <v>3784.239</v>
      </c>
      <c r="N22" s="243">
        <v>3022.4549999999999</v>
      </c>
      <c r="O22" s="243">
        <v>3484.038</v>
      </c>
      <c r="P22" s="244">
        <v>3730.3919999999998</v>
      </c>
      <c r="Q22" s="242">
        <v>536.524</v>
      </c>
      <c r="R22" s="245">
        <v>609.42999999999995</v>
      </c>
      <c r="S22" s="245">
        <v>420.43700000000001</v>
      </c>
      <c r="T22" s="245">
        <v>674.69500000000005</v>
      </c>
      <c r="U22" s="242">
        <v>-430.45499999999998</v>
      </c>
      <c r="V22" s="243">
        <v>-232.09200000000001</v>
      </c>
      <c r="W22" s="243">
        <v>-257.57400000000001</v>
      </c>
      <c r="X22" s="243">
        <v>-411.125</v>
      </c>
      <c r="Y22" s="242">
        <v>488.23</v>
      </c>
      <c r="Z22" s="243">
        <v>423.87400000000002</v>
      </c>
      <c r="AA22" s="243">
        <v>400.56900000000002</v>
      </c>
      <c r="AB22" s="243">
        <v>425.17700000000002</v>
      </c>
      <c r="AC22" s="241"/>
    </row>
    <row r="23" spans="1:29" ht="13.5" customHeight="1">
      <c r="B23" s="42"/>
      <c r="C23" s="198"/>
      <c r="D23" s="198"/>
      <c r="E23" s="198"/>
      <c r="F23" s="198"/>
      <c r="G23" s="198"/>
      <c r="H23" s="198"/>
      <c r="I23" s="49"/>
      <c r="J23" s="49"/>
      <c r="K23" s="49"/>
      <c r="L23" s="49"/>
      <c r="M23" s="242"/>
      <c r="N23" s="243"/>
      <c r="O23" s="243"/>
      <c r="P23" s="244"/>
      <c r="Q23" s="242"/>
      <c r="R23" s="245"/>
      <c r="S23" s="245"/>
      <c r="T23" s="245"/>
      <c r="U23" s="242"/>
      <c r="V23" s="243"/>
      <c r="W23" s="243"/>
      <c r="X23" s="243"/>
      <c r="Y23" s="242"/>
      <c r="Z23" s="243"/>
      <c r="AA23" s="243"/>
      <c r="AB23" s="243"/>
      <c r="AC23" s="241"/>
    </row>
    <row r="24" spans="1:29" ht="13.5" customHeight="1">
      <c r="B24" s="246" t="s">
        <v>140</v>
      </c>
      <c r="C24" s="247"/>
      <c r="D24" s="247"/>
      <c r="E24" s="247"/>
      <c r="F24" s="247"/>
      <c r="G24" s="247"/>
      <c r="H24" s="247"/>
      <c r="I24" s="248">
        <f>MAX(I15:I22)</f>
        <v>0.80463437541347349</v>
      </c>
      <c r="J24" s="248">
        <f t="shared" ref="J24:AB24" si="4">MAX(J15:J22)</f>
        <v>0.48596748061288753</v>
      </c>
      <c r="K24" s="248">
        <f t="shared" si="4"/>
        <v>0.31749437200658726</v>
      </c>
      <c r="L24" s="248">
        <f t="shared" si="4"/>
        <v>0.15803953717592489</v>
      </c>
      <c r="M24" s="249">
        <f t="shared" si="4"/>
        <v>3784.239</v>
      </c>
      <c r="N24" s="250">
        <f t="shared" si="4"/>
        <v>3022.4549999999999</v>
      </c>
      <c r="O24" s="250">
        <f t="shared" si="4"/>
        <v>3484.038</v>
      </c>
      <c r="P24" s="251">
        <f t="shared" si="4"/>
        <v>3730.3919999999998</v>
      </c>
      <c r="Q24" s="249">
        <f t="shared" si="4"/>
        <v>536.524</v>
      </c>
      <c r="R24" s="250">
        <f t="shared" si="4"/>
        <v>609.42999999999995</v>
      </c>
      <c r="S24" s="250">
        <f t="shared" si="4"/>
        <v>420.43700000000001</v>
      </c>
      <c r="T24" s="250">
        <f t="shared" si="4"/>
        <v>674.69500000000005</v>
      </c>
      <c r="U24" s="249">
        <f t="shared" si="4"/>
        <v>-6.069</v>
      </c>
      <c r="V24" s="250">
        <f t="shared" si="4"/>
        <v>-2.4670000000000001</v>
      </c>
      <c r="W24" s="250">
        <f t="shared" si="4"/>
        <v>-2.4750000000000001</v>
      </c>
      <c r="X24" s="250">
        <f t="shared" si="4"/>
        <v>-3.4590000000000001</v>
      </c>
      <c r="Y24" s="249">
        <f t="shared" si="4"/>
        <v>488.23</v>
      </c>
      <c r="Z24" s="250">
        <f t="shared" si="4"/>
        <v>423.87400000000002</v>
      </c>
      <c r="AA24" s="250">
        <f t="shared" si="4"/>
        <v>400.56900000000002</v>
      </c>
      <c r="AB24" s="252">
        <f t="shared" si="4"/>
        <v>425.17700000000002</v>
      </c>
      <c r="AC24" s="241"/>
    </row>
    <row r="25" spans="1:29" ht="13.5" customHeight="1">
      <c r="B25" s="253" t="s">
        <v>146</v>
      </c>
      <c r="C25" s="254"/>
      <c r="D25" s="254"/>
      <c r="E25" s="254"/>
      <c r="F25" s="254"/>
      <c r="G25" s="254"/>
      <c r="H25" s="254"/>
      <c r="I25" s="255">
        <f>AVERAGE(I15:I22)</f>
        <v>9.7176407745082405E-2</v>
      </c>
      <c r="J25" s="255">
        <f t="shared" ref="J25:AB25" si="5">AVERAGE(J15:J22)</f>
        <v>-8.5527681888965673E-2</v>
      </c>
      <c r="K25" s="255">
        <f t="shared" si="5"/>
        <v>0.14244096642769627</v>
      </c>
      <c r="L25" s="255">
        <f t="shared" si="5"/>
        <v>4.0909329380349552E-2</v>
      </c>
      <c r="M25" s="242">
        <f t="shared" si="5"/>
        <v>685.22874999999999</v>
      </c>
      <c r="N25" s="245">
        <f t="shared" si="5"/>
        <v>641.452</v>
      </c>
      <c r="O25" s="245">
        <f t="shared" si="5"/>
        <v>762.59787499999993</v>
      </c>
      <c r="P25" s="256">
        <f t="shared" si="5"/>
        <v>883.58362499999998</v>
      </c>
      <c r="Q25" s="242">
        <f t="shared" si="5"/>
        <v>-117.90274999999998</v>
      </c>
      <c r="R25" s="245">
        <f t="shared" si="5"/>
        <v>-99.095749999999995</v>
      </c>
      <c r="S25" s="245">
        <f t="shared" si="5"/>
        <v>-145.04400000000004</v>
      </c>
      <c r="T25" s="245">
        <f t="shared" si="5"/>
        <v>-17.305874999999986</v>
      </c>
      <c r="U25" s="242">
        <f t="shared" si="5"/>
        <v>-81.546999999999997</v>
      </c>
      <c r="V25" s="245">
        <f t="shared" si="5"/>
        <v>-66.365875000000003</v>
      </c>
      <c r="W25" s="245">
        <f t="shared" si="5"/>
        <v>-77.530875000000009</v>
      </c>
      <c r="X25" s="245">
        <f t="shared" si="5"/>
        <v>-72.03425</v>
      </c>
      <c r="Y25" s="242">
        <f t="shared" si="5"/>
        <v>94.629625000000004</v>
      </c>
      <c r="Z25" s="245">
        <f t="shared" si="5"/>
        <v>94.368375000000015</v>
      </c>
      <c r="AA25" s="245">
        <f t="shared" si="5"/>
        <v>87.268249999999995</v>
      </c>
      <c r="AB25" s="257">
        <f t="shared" si="5"/>
        <v>102.1035</v>
      </c>
      <c r="AC25" s="241"/>
    </row>
    <row r="26" spans="1:29" ht="13.5" customHeight="1">
      <c r="B26" s="253" t="s">
        <v>239</v>
      </c>
      <c r="C26" s="254"/>
      <c r="D26" s="254"/>
      <c r="E26" s="254"/>
      <c r="F26" s="254"/>
      <c r="G26" s="254"/>
      <c r="H26" s="254"/>
      <c r="I26" s="255">
        <f>MEDIAN(I15:I22)</f>
        <v>-9.1888591383687546E-3</v>
      </c>
      <c r="J26" s="255">
        <f t="shared" ref="J26:AB26" si="6">MEDIAN(J15:J22)</f>
        <v>-0.16062312233523734</v>
      </c>
      <c r="K26" s="255">
        <f t="shared" si="6"/>
        <v>9.8685551686664152E-2</v>
      </c>
      <c r="L26" s="255">
        <f t="shared" si="6"/>
        <v>1.888997205191123E-2</v>
      </c>
      <c r="M26" s="242">
        <f t="shared" si="6"/>
        <v>184.6335</v>
      </c>
      <c r="N26" s="245">
        <f t="shared" si="6"/>
        <v>146.56800000000001</v>
      </c>
      <c r="O26" s="245">
        <f t="shared" si="6"/>
        <v>183.78949999999998</v>
      </c>
      <c r="P26" s="256">
        <f t="shared" si="6"/>
        <v>291.95150000000001</v>
      </c>
      <c r="Q26" s="242">
        <f t="shared" si="6"/>
        <v>14.244</v>
      </c>
      <c r="R26" s="245">
        <f t="shared" si="6"/>
        <v>30.264499999999998</v>
      </c>
      <c r="S26" s="245">
        <f t="shared" si="6"/>
        <v>25.734000000000002</v>
      </c>
      <c r="T26" s="245">
        <f t="shared" si="6"/>
        <v>33.167999999999999</v>
      </c>
      <c r="U26" s="242">
        <f t="shared" si="6"/>
        <v>-19.414000000000001</v>
      </c>
      <c r="V26" s="245">
        <f t="shared" si="6"/>
        <v>-10.838999999999999</v>
      </c>
      <c r="W26" s="245">
        <f t="shared" si="6"/>
        <v>-11.894500000000001</v>
      </c>
      <c r="X26" s="245">
        <f t="shared" si="6"/>
        <v>-12.080500000000001</v>
      </c>
      <c r="Y26" s="242">
        <f t="shared" si="6"/>
        <v>18.664000000000001</v>
      </c>
      <c r="Z26" s="245">
        <f t="shared" si="6"/>
        <v>18.37</v>
      </c>
      <c r="AA26" s="245">
        <f t="shared" si="6"/>
        <v>17.634</v>
      </c>
      <c r="AB26" s="257">
        <f t="shared" si="6"/>
        <v>25.239000000000001</v>
      </c>
      <c r="AC26" s="241"/>
    </row>
    <row r="27" spans="1:29" ht="13.5" customHeight="1">
      <c r="B27" s="258" t="s">
        <v>141</v>
      </c>
      <c r="C27" s="259"/>
      <c r="D27" s="259"/>
      <c r="E27" s="259"/>
      <c r="F27" s="259"/>
      <c r="G27" s="259"/>
      <c r="H27" s="259"/>
      <c r="I27" s="260">
        <f>MIN(I15:I22)</f>
        <v>-6.3048867195756975E-2</v>
      </c>
      <c r="J27" s="260">
        <f t="shared" ref="J27:AB27" si="7">MIN(J15:J22)</f>
        <v>-0.23831498754250802</v>
      </c>
      <c r="K27" s="260">
        <f t="shared" si="7"/>
        <v>2.8451696556895723E-2</v>
      </c>
      <c r="L27" s="260">
        <f t="shared" si="7"/>
        <v>6.4184075864637258E-4</v>
      </c>
      <c r="M27" s="261">
        <f t="shared" si="7"/>
        <v>34.151000000000003</v>
      </c>
      <c r="N27" s="262">
        <f t="shared" si="7"/>
        <v>26.151</v>
      </c>
      <c r="O27" s="262">
        <f t="shared" si="7"/>
        <v>35.063000000000002</v>
      </c>
      <c r="P27" s="263">
        <f t="shared" si="7"/>
        <v>37.003</v>
      </c>
      <c r="Q27" s="261">
        <f t="shared" si="7"/>
        <v>-1598.8</v>
      </c>
      <c r="R27" s="262">
        <f t="shared" si="7"/>
        <v>-1586.4680000000001</v>
      </c>
      <c r="S27" s="262">
        <f t="shared" si="7"/>
        <v>-1748.81</v>
      </c>
      <c r="T27" s="262">
        <f t="shared" si="7"/>
        <v>-987.85400000000004</v>
      </c>
      <c r="U27" s="261">
        <f t="shared" si="7"/>
        <v>-430.45499999999998</v>
      </c>
      <c r="V27" s="262">
        <f t="shared" si="7"/>
        <v>-248.511</v>
      </c>
      <c r="W27" s="262">
        <f t="shared" si="7"/>
        <v>-311.86799999999999</v>
      </c>
      <c r="X27" s="262">
        <f t="shared" si="7"/>
        <v>-411.125</v>
      </c>
      <c r="Y27" s="261">
        <f t="shared" si="7"/>
        <v>8.8330000000000002</v>
      </c>
      <c r="Z27" s="262">
        <f t="shared" si="7"/>
        <v>8.5609999999999999</v>
      </c>
      <c r="AA27" s="262">
        <f t="shared" si="7"/>
        <v>7.6689999999999996</v>
      </c>
      <c r="AB27" s="264">
        <f t="shared" si="7"/>
        <v>6.66</v>
      </c>
      <c r="AC27" s="241"/>
    </row>
    <row r="28" spans="1:29" ht="13.5" customHeight="1">
      <c r="B28" s="42"/>
      <c r="C28" s="198"/>
      <c r="D28" s="198"/>
      <c r="E28" s="198"/>
      <c r="F28" s="198"/>
      <c r="G28" s="198"/>
      <c r="H28" s="198"/>
      <c r="I28" s="49" t="s">
        <v>324</v>
      </c>
      <c r="J28" s="49"/>
      <c r="K28" s="49"/>
      <c r="L28" s="49"/>
      <c r="M28" s="242"/>
      <c r="N28" s="243"/>
      <c r="O28" s="243"/>
      <c r="P28" s="244"/>
      <c r="Q28" s="242"/>
      <c r="R28" s="245"/>
      <c r="S28" s="245"/>
      <c r="T28" s="245"/>
      <c r="U28" s="242"/>
      <c r="V28" s="243"/>
      <c r="W28" s="243"/>
      <c r="X28" s="243"/>
      <c r="Y28" s="242"/>
      <c r="Z28" s="243"/>
      <c r="AA28" s="243"/>
      <c r="AB28" s="243"/>
      <c r="AC28" s="241"/>
    </row>
    <row r="29" spans="1:29" ht="13.5" customHeight="1">
      <c r="B29" s="197" t="s">
        <v>240</v>
      </c>
      <c r="C29" s="198"/>
      <c r="D29" s="198"/>
      <c r="E29" s="198"/>
      <c r="F29" s="198"/>
      <c r="G29" s="198"/>
      <c r="H29" s="198"/>
      <c r="I29" s="49"/>
      <c r="J29" s="49"/>
      <c r="K29" s="49"/>
      <c r="L29" s="49"/>
      <c r="M29" s="242"/>
      <c r="N29" s="243"/>
      <c r="O29" s="243"/>
      <c r="P29" s="244"/>
      <c r="Q29" s="242"/>
      <c r="R29" s="245"/>
      <c r="S29" s="245"/>
      <c r="T29" s="245"/>
      <c r="U29" s="242"/>
      <c r="V29" s="243"/>
      <c r="W29" s="243"/>
      <c r="X29" s="243"/>
      <c r="Y29" s="242"/>
      <c r="Z29" s="243"/>
      <c r="AA29" s="243"/>
      <c r="AB29" s="243"/>
      <c r="AC29" s="241"/>
    </row>
    <row r="30" spans="1:29" ht="13.5" customHeight="1">
      <c r="A30" s="1" t="s">
        <v>267</v>
      </c>
      <c r="B30" s="42" t="s">
        <v>266</v>
      </c>
      <c r="C30" s="198">
        <v>6969.2740000000003</v>
      </c>
      <c r="D30" s="198">
        <v>7208.5020000000004</v>
      </c>
      <c r="E30" s="198">
        <v>6460.3149999999996</v>
      </c>
      <c r="F30" s="198">
        <v>6324.6509999999998</v>
      </c>
      <c r="G30" s="198">
        <v>4979.8450000000003</v>
      </c>
      <c r="H30" s="198">
        <v>4964.9120000000003</v>
      </c>
      <c r="I30" s="49">
        <v>3.4326100537875215E-2</v>
      </c>
      <c r="J30" s="49">
        <v>-0.1037922997038776</v>
      </c>
      <c r="K30" s="49">
        <v>-2.0999595220976053E-2</v>
      </c>
      <c r="L30" s="49">
        <v>-2.9986877101596532E-3</v>
      </c>
      <c r="M30" s="242">
        <v>4185.1400000000003</v>
      </c>
      <c r="N30" s="243">
        <v>3588.569</v>
      </c>
      <c r="O30" s="243">
        <v>3697.1060000000002</v>
      </c>
      <c r="P30" s="244">
        <v>3421.739</v>
      </c>
      <c r="Q30" s="242">
        <v>-411.50400000000002</v>
      </c>
      <c r="R30" s="245">
        <v>-414.041</v>
      </c>
      <c r="S30" s="245">
        <v>-164.41200000000001</v>
      </c>
      <c r="T30" s="245">
        <v>-2233.7190000000001</v>
      </c>
      <c r="U30" s="242">
        <v>-674.82899999999995</v>
      </c>
      <c r="V30" s="243">
        <v>-433.79500000000002</v>
      </c>
      <c r="W30" s="243">
        <v>-714.07799999999997</v>
      </c>
      <c r="X30" s="243">
        <v>-486.07499999999999</v>
      </c>
      <c r="Y30" s="242">
        <v>427.81200000000001</v>
      </c>
      <c r="Z30" s="243">
        <v>426.54599999999999</v>
      </c>
      <c r="AA30" s="243">
        <v>447.21600000000001</v>
      </c>
      <c r="AB30" s="243">
        <v>412.71499999999997</v>
      </c>
      <c r="AC30" s="241"/>
    </row>
    <row r="31" spans="1:29" ht="13.5" customHeight="1">
      <c r="A31" s="1" t="s">
        <v>265</v>
      </c>
      <c r="B31" s="42" t="s">
        <v>264</v>
      </c>
      <c r="C31" s="198">
        <v>7.14</v>
      </c>
      <c r="D31" s="198">
        <v>13.933</v>
      </c>
      <c r="E31" s="198">
        <v>33.664000000000001</v>
      </c>
      <c r="F31" s="198">
        <v>66.102000000000004</v>
      </c>
      <c r="G31" s="198">
        <v>133.09800000000001</v>
      </c>
      <c r="H31" s="198">
        <v>151.79900000000001</v>
      </c>
      <c r="I31" s="49">
        <v>0.95140056022408981</v>
      </c>
      <c r="J31" s="49">
        <v>1.4161343572812748</v>
      </c>
      <c r="K31" s="49">
        <v>0.96358127376425862</v>
      </c>
      <c r="L31" s="49">
        <v>0.14050549219372188</v>
      </c>
      <c r="M31" s="242">
        <v>9.8309999999999995</v>
      </c>
      <c r="N31" s="243">
        <v>21.927</v>
      </c>
      <c r="O31" s="243">
        <v>43.155999999999999</v>
      </c>
      <c r="P31" s="244">
        <v>76.131</v>
      </c>
      <c r="Q31" s="242">
        <v>0.48799999999999999</v>
      </c>
      <c r="R31" s="245">
        <v>3.6259999999999999</v>
      </c>
      <c r="S31" s="245">
        <v>3.895</v>
      </c>
      <c r="T31" s="245">
        <v>1.9</v>
      </c>
      <c r="U31" s="242">
        <v>-0.70199999999999996</v>
      </c>
      <c r="V31" s="243">
        <v>-0.93600000000000005</v>
      </c>
      <c r="W31" s="243">
        <v>-1.591</v>
      </c>
      <c r="X31" s="243">
        <v>-5.61</v>
      </c>
      <c r="Y31" s="242">
        <v>0.248</v>
      </c>
      <c r="Z31" s="243">
        <v>0.41899999999999998</v>
      </c>
      <c r="AA31" s="243">
        <v>0.36499999999999999</v>
      </c>
      <c r="AB31" s="243">
        <v>1.7030000000000001</v>
      </c>
      <c r="AC31" s="241"/>
    </row>
    <row r="32" spans="1:29" ht="13.5" customHeight="1">
      <c r="A32" s="1" t="s">
        <v>263</v>
      </c>
      <c r="B32" s="42" t="s">
        <v>262</v>
      </c>
      <c r="C32" s="198">
        <v>136.39330000000001</v>
      </c>
      <c r="D32" s="198">
        <v>170.25</v>
      </c>
      <c r="E32" s="198">
        <v>198.452</v>
      </c>
      <c r="F32" s="198">
        <v>252.93600000000001</v>
      </c>
      <c r="G32" s="198">
        <v>345.17700000000002</v>
      </c>
      <c r="H32" s="198">
        <v>361.851</v>
      </c>
      <c r="I32" s="49">
        <v>0.24822846870044191</v>
      </c>
      <c r="J32" s="49">
        <v>0.16565051395007346</v>
      </c>
      <c r="K32" s="49">
        <v>0.27454497813073186</v>
      </c>
      <c r="L32" s="49">
        <v>4.8305651882946998E-2</v>
      </c>
      <c r="M32" s="242">
        <v>72.066000000000003</v>
      </c>
      <c r="N32" s="243">
        <v>83.915999999999997</v>
      </c>
      <c r="O32" s="243">
        <v>121.604</v>
      </c>
      <c r="P32" s="244">
        <v>189.5</v>
      </c>
      <c r="Q32" s="242">
        <v>-29.23</v>
      </c>
      <c r="R32" s="245">
        <v>-30.946999999999999</v>
      </c>
      <c r="S32" s="245">
        <v>-36.564</v>
      </c>
      <c r="T32" s="245">
        <v>-36.298000000000002</v>
      </c>
      <c r="U32" s="242">
        <v>-20.103000000000002</v>
      </c>
      <c r="V32" s="243">
        <v>-15.327</v>
      </c>
      <c r="W32" s="243">
        <v>-21.404</v>
      </c>
      <c r="X32" s="243">
        <v>-16.646999999999998</v>
      </c>
      <c r="Y32" s="242">
        <v>9.7289999999999992</v>
      </c>
      <c r="Z32" s="243">
        <v>14.657999999999999</v>
      </c>
      <c r="AA32" s="243">
        <v>17.603000000000002</v>
      </c>
      <c r="AB32" s="243">
        <v>18.724</v>
      </c>
      <c r="AC32" s="241"/>
    </row>
    <row r="33" spans="1:29" ht="13.5" customHeight="1">
      <c r="A33" s="1" t="s">
        <v>261</v>
      </c>
      <c r="B33" s="42" t="s">
        <v>152</v>
      </c>
      <c r="C33" s="198">
        <v>14072.9</v>
      </c>
      <c r="D33" s="198">
        <v>13950.4</v>
      </c>
      <c r="E33" s="198">
        <v>13015</v>
      </c>
      <c r="F33" s="198">
        <v>14060</v>
      </c>
      <c r="G33" s="198">
        <v>14549</v>
      </c>
      <c r="H33" s="198">
        <v>14602</v>
      </c>
      <c r="I33" s="49">
        <v>-8.7046735214489912E-3</v>
      </c>
      <c r="J33" s="49">
        <v>-6.7051840807431984E-2</v>
      </c>
      <c r="K33" s="49">
        <v>8.0291970802919721E-2</v>
      </c>
      <c r="L33" s="49">
        <v>3.6428620523747401E-3</v>
      </c>
      <c r="M33" s="242">
        <v>5299.7</v>
      </c>
      <c r="N33" s="243">
        <v>4315</v>
      </c>
      <c r="O33" s="243">
        <v>5075</v>
      </c>
      <c r="P33" s="244">
        <v>6172</v>
      </c>
      <c r="Q33" s="242">
        <v>16.8</v>
      </c>
      <c r="R33" s="245">
        <v>617.29999999999995</v>
      </c>
      <c r="S33" s="245">
        <v>916</v>
      </c>
      <c r="T33" s="245">
        <v>1198</v>
      </c>
      <c r="U33" s="242">
        <v>-474.1</v>
      </c>
      <c r="V33" s="243">
        <v>-262</v>
      </c>
      <c r="W33" s="243">
        <v>-284</v>
      </c>
      <c r="X33" s="243">
        <v>-265</v>
      </c>
      <c r="Y33" s="242">
        <v>413</v>
      </c>
      <c r="Z33" s="243">
        <v>449</v>
      </c>
      <c r="AA33" s="243">
        <v>433</v>
      </c>
      <c r="AB33" s="243">
        <v>418</v>
      </c>
      <c r="AC33" s="241"/>
    </row>
    <row r="34" spans="1:29" ht="13.5" customHeight="1">
      <c r="B34" s="42"/>
      <c r="C34" s="198"/>
      <c r="D34" s="198"/>
      <c r="E34" s="198"/>
      <c r="F34" s="198"/>
      <c r="G34" s="198"/>
      <c r="H34" s="198"/>
      <c r="I34" s="49"/>
      <c r="J34" s="49"/>
      <c r="K34" s="49"/>
      <c r="L34" s="49"/>
      <c r="M34" s="242"/>
      <c r="N34" s="243"/>
      <c r="O34" s="243"/>
      <c r="P34" s="244"/>
      <c r="Q34" s="242"/>
      <c r="R34" s="245"/>
      <c r="S34" s="245"/>
      <c r="T34" s="245"/>
      <c r="U34" s="242"/>
      <c r="V34" s="243"/>
      <c r="W34" s="243"/>
      <c r="X34" s="243"/>
      <c r="Y34" s="242"/>
      <c r="Z34" s="243"/>
      <c r="AA34" s="243"/>
      <c r="AB34" s="243"/>
      <c r="AC34" s="241"/>
    </row>
    <row r="35" spans="1:29" ht="13.5" customHeight="1">
      <c r="B35" s="246" t="s">
        <v>140</v>
      </c>
      <c r="C35" s="247"/>
      <c r="D35" s="247"/>
      <c r="E35" s="247"/>
      <c r="F35" s="247"/>
      <c r="G35" s="247"/>
      <c r="H35" s="247"/>
      <c r="I35" s="248">
        <f>MAX(I30:I33)</f>
        <v>0.95140056022408981</v>
      </c>
      <c r="J35" s="248">
        <f t="shared" ref="J35:AB35" si="8">MAX(J30:J33)</f>
        <v>1.4161343572812748</v>
      </c>
      <c r="K35" s="248">
        <f t="shared" si="8"/>
        <v>0.96358127376425862</v>
      </c>
      <c r="L35" s="248">
        <f t="shared" si="8"/>
        <v>0.14050549219372188</v>
      </c>
      <c r="M35" s="249">
        <f t="shared" si="8"/>
        <v>5299.7</v>
      </c>
      <c r="N35" s="250">
        <f t="shared" si="8"/>
        <v>4315</v>
      </c>
      <c r="O35" s="250">
        <f t="shared" si="8"/>
        <v>5075</v>
      </c>
      <c r="P35" s="251">
        <f t="shared" si="8"/>
        <v>6172</v>
      </c>
      <c r="Q35" s="249">
        <f t="shared" si="8"/>
        <v>16.8</v>
      </c>
      <c r="R35" s="250">
        <f t="shared" si="8"/>
        <v>617.29999999999995</v>
      </c>
      <c r="S35" s="250">
        <f t="shared" si="8"/>
        <v>916</v>
      </c>
      <c r="T35" s="250">
        <f t="shared" si="8"/>
        <v>1198</v>
      </c>
      <c r="U35" s="249">
        <f t="shared" si="8"/>
        <v>-0.70199999999999996</v>
      </c>
      <c r="V35" s="250">
        <f t="shared" si="8"/>
        <v>-0.93600000000000005</v>
      </c>
      <c r="W35" s="250">
        <f t="shared" si="8"/>
        <v>-1.591</v>
      </c>
      <c r="X35" s="250">
        <f t="shared" si="8"/>
        <v>-5.61</v>
      </c>
      <c r="Y35" s="249">
        <f t="shared" si="8"/>
        <v>427.81200000000001</v>
      </c>
      <c r="Z35" s="250">
        <f t="shared" si="8"/>
        <v>449</v>
      </c>
      <c r="AA35" s="250">
        <f t="shared" si="8"/>
        <v>447.21600000000001</v>
      </c>
      <c r="AB35" s="252">
        <f t="shared" si="8"/>
        <v>418</v>
      </c>
      <c r="AC35" s="241"/>
    </row>
    <row r="36" spans="1:29" ht="13.5" customHeight="1">
      <c r="B36" s="253" t="s">
        <v>146</v>
      </c>
      <c r="C36" s="254"/>
      <c r="D36" s="254"/>
      <c r="E36" s="254"/>
      <c r="F36" s="254"/>
      <c r="G36" s="254"/>
      <c r="H36" s="254"/>
      <c r="I36" s="255">
        <f>AVERAGE(I30:I33)</f>
        <v>0.30631261398523946</v>
      </c>
      <c r="J36" s="255">
        <f t="shared" ref="J36:AB36" si="9">AVERAGE(J30:J33)</f>
        <v>0.3527351826800097</v>
      </c>
      <c r="K36" s="255">
        <f t="shared" si="9"/>
        <v>0.32435465686923354</v>
      </c>
      <c r="L36" s="255">
        <f t="shared" si="9"/>
        <v>4.7363829604720992E-2</v>
      </c>
      <c r="M36" s="242">
        <f t="shared" si="9"/>
        <v>2391.6842500000002</v>
      </c>
      <c r="N36" s="245">
        <f t="shared" si="9"/>
        <v>2002.3530000000001</v>
      </c>
      <c r="O36" s="245">
        <f t="shared" si="9"/>
        <v>2234.2165</v>
      </c>
      <c r="P36" s="256">
        <f t="shared" si="9"/>
        <v>2464.8424999999997</v>
      </c>
      <c r="Q36" s="242">
        <f t="shared" si="9"/>
        <v>-105.86150000000001</v>
      </c>
      <c r="R36" s="245">
        <f t="shared" si="9"/>
        <v>43.984499999999983</v>
      </c>
      <c r="S36" s="245">
        <f t="shared" si="9"/>
        <v>179.72975</v>
      </c>
      <c r="T36" s="245">
        <f t="shared" si="9"/>
        <v>-267.52925000000005</v>
      </c>
      <c r="U36" s="242">
        <f t="shared" si="9"/>
        <v>-292.43349999999998</v>
      </c>
      <c r="V36" s="245">
        <f t="shared" si="9"/>
        <v>-178.0145</v>
      </c>
      <c r="W36" s="245">
        <f t="shared" si="9"/>
        <v>-255.26824999999999</v>
      </c>
      <c r="X36" s="245">
        <f t="shared" si="9"/>
        <v>-193.333</v>
      </c>
      <c r="Y36" s="242">
        <f t="shared" si="9"/>
        <v>212.69725</v>
      </c>
      <c r="Z36" s="245">
        <f t="shared" si="9"/>
        <v>222.65575000000001</v>
      </c>
      <c r="AA36" s="245">
        <f t="shared" si="9"/>
        <v>224.54599999999999</v>
      </c>
      <c r="AB36" s="257">
        <f t="shared" si="9"/>
        <v>212.78549999999998</v>
      </c>
      <c r="AC36" s="241"/>
    </row>
    <row r="37" spans="1:29" ht="13.5" customHeight="1">
      <c r="B37" s="253" t="s">
        <v>239</v>
      </c>
      <c r="C37" s="254"/>
      <c r="D37" s="254"/>
      <c r="E37" s="254"/>
      <c r="F37" s="254"/>
      <c r="G37" s="254"/>
      <c r="H37" s="254"/>
      <c r="I37" s="255">
        <f>MEDIAN(I30:I33)</f>
        <v>0.14127728461915856</v>
      </c>
      <c r="J37" s="255">
        <f t="shared" ref="J37:AB37" si="10">MEDIAN(J30:J33)</f>
        <v>4.929933657132074E-2</v>
      </c>
      <c r="K37" s="255">
        <f t="shared" si="10"/>
        <v>0.17741847446682579</v>
      </c>
      <c r="L37" s="255">
        <f t="shared" si="10"/>
        <v>2.5974256967660869E-2</v>
      </c>
      <c r="M37" s="242">
        <f t="shared" si="10"/>
        <v>2128.6030000000001</v>
      </c>
      <c r="N37" s="245">
        <f t="shared" si="10"/>
        <v>1836.2424999999998</v>
      </c>
      <c r="O37" s="245">
        <f t="shared" si="10"/>
        <v>1909.3550000000002</v>
      </c>
      <c r="P37" s="256">
        <f t="shared" si="10"/>
        <v>1805.6195</v>
      </c>
      <c r="Q37" s="242">
        <f t="shared" si="10"/>
        <v>-14.371</v>
      </c>
      <c r="R37" s="245">
        <f t="shared" si="10"/>
        <v>-13.660499999999999</v>
      </c>
      <c r="S37" s="245">
        <f t="shared" si="10"/>
        <v>-16.334499999999998</v>
      </c>
      <c r="T37" s="245">
        <f t="shared" si="10"/>
        <v>-17.199000000000002</v>
      </c>
      <c r="U37" s="242">
        <f t="shared" si="10"/>
        <v>-247.10150000000002</v>
      </c>
      <c r="V37" s="245">
        <f t="shared" si="10"/>
        <v>-138.6635</v>
      </c>
      <c r="W37" s="245">
        <f t="shared" si="10"/>
        <v>-152.702</v>
      </c>
      <c r="X37" s="245">
        <f t="shared" si="10"/>
        <v>-140.8235</v>
      </c>
      <c r="Y37" s="242">
        <f t="shared" si="10"/>
        <v>211.36450000000002</v>
      </c>
      <c r="Z37" s="245">
        <f t="shared" si="10"/>
        <v>220.60199999999998</v>
      </c>
      <c r="AA37" s="245">
        <f t="shared" si="10"/>
        <v>225.3015</v>
      </c>
      <c r="AB37" s="257">
        <f t="shared" si="10"/>
        <v>215.71949999999998</v>
      </c>
      <c r="AC37" s="241"/>
    </row>
    <row r="38" spans="1:29" ht="13.5" customHeight="1">
      <c r="B38" s="258" t="s">
        <v>141</v>
      </c>
      <c r="C38" s="259"/>
      <c r="D38" s="259"/>
      <c r="E38" s="259"/>
      <c r="F38" s="259"/>
      <c r="G38" s="259"/>
      <c r="H38" s="259"/>
      <c r="I38" s="260">
        <f>MIN(I30:I33)</f>
        <v>-8.7046735214489912E-3</v>
      </c>
      <c r="J38" s="260">
        <f t="shared" ref="J38:AB38" si="11">MIN(J30:J33)</f>
        <v>-0.1037922997038776</v>
      </c>
      <c r="K38" s="260">
        <f t="shared" si="11"/>
        <v>-2.0999595220976053E-2</v>
      </c>
      <c r="L38" s="260">
        <f t="shared" si="11"/>
        <v>-2.9986877101596532E-3</v>
      </c>
      <c r="M38" s="261">
        <f t="shared" si="11"/>
        <v>9.8309999999999995</v>
      </c>
      <c r="N38" s="262">
        <f t="shared" si="11"/>
        <v>21.927</v>
      </c>
      <c r="O38" s="262">
        <f t="shared" si="11"/>
        <v>43.155999999999999</v>
      </c>
      <c r="P38" s="263">
        <f t="shared" si="11"/>
        <v>76.131</v>
      </c>
      <c r="Q38" s="261">
        <f t="shared" si="11"/>
        <v>-411.50400000000002</v>
      </c>
      <c r="R38" s="262">
        <f t="shared" si="11"/>
        <v>-414.041</v>
      </c>
      <c r="S38" s="262">
        <f t="shared" si="11"/>
        <v>-164.41200000000001</v>
      </c>
      <c r="T38" s="262">
        <f t="shared" si="11"/>
        <v>-2233.7190000000001</v>
      </c>
      <c r="U38" s="261">
        <f t="shared" si="11"/>
        <v>-674.82899999999995</v>
      </c>
      <c r="V38" s="262">
        <f t="shared" si="11"/>
        <v>-433.79500000000002</v>
      </c>
      <c r="W38" s="262">
        <f t="shared" si="11"/>
        <v>-714.07799999999997</v>
      </c>
      <c r="X38" s="262">
        <f t="shared" si="11"/>
        <v>-486.07499999999999</v>
      </c>
      <c r="Y38" s="261">
        <f t="shared" si="11"/>
        <v>0.248</v>
      </c>
      <c r="Z38" s="262">
        <f t="shared" si="11"/>
        <v>0.41899999999999998</v>
      </c>
      <c r="AA38" s="262">
        <f t="shared" si="11"/>
        <v>0.36499999999999999</v>
      </c>
      <c r="AB38" s="264">
        <f t="shared" si="11"/>
        <v>1.7030000000000001</v>
      </c>
      <c r="AC38" s="241"/>
    </row>
    <row r="39" spans="1:29" ht="13.5" customHeight="1">
      <c r="B39" s="42"/>
      <c r="C39" s="198"/>
      <c r="D39" s="198"/>
      <c r="E39" s="198"/>
      <c r="F39" s="198"/>
      <c r="G39" s="198"/>
      <c r="H39" s="198"/>
      <c r="I39" s="49"/>
      <c r="J39" s="49"/>
      <c r="K39" s="49"/>
      <c r="L39" s="49"/>
      <c r="M39" s="242"/>
      <c r="N39" s="243"/>
      <c r="O39" s="243"/>
      <c r="P39" s="244"/>
      <c r="Q39" s="242"/>
      <c r="R39" s="245"/>
      <c r="S39" s="245"/>
      <c r="T39" s="245"/>
      <c r="U39" s="242"/>
      <c r="V39" s="243"/>
      <c r="W39" s="243"/>
      <c r="X39" s="243"/>
      <c r="Y39" s="242"/>
      <c r="Z39" s="243"/>
      <c r="AA39" s="243"/>
      <c r="AB39" s="243"/>
      <c r="AC39" s="241"/>
    </row>
    <row r="40" spans="1:29" ht="13.5" customHeight="1">
      <c r="B40" s="197" t="s">
        <v>238</v>
      </c>
      <c r="C40" s="198"/>
      <c r="D40" s="198"/>
      <c r="E40" s="198"/>
      <c r="F40" s="198"/>
      <c r="G40" s="198"/>
      <c r="H40" s="198"/>
      <c r="I40" s="49"/>
      <c r="J40" s="49"/>
      <c r="K40" s="49"/>
      <c r="L40" s="49"/>
      <c r="M40" s="242"/>
      <c r="N40" s="243"/>
      <c r="O40" s="243"/>
      <c r="P40" s="244"/>
      <c r="Q40" s="242"/>
      <c r="R40" s="245"/>
      <c r="S40" s="245"/>
      <c r="T40" s="245"/>
      <c r="U40" s="242"/>
      <c r="V40" s="243"/>
      <c r="W40" s="243"/>
      <c r="X40" s="243"/>
      <c r="Y40" s="242"/>
      <c r="Z40" s="243"/>
      <c r="AA40" s="243"/>
      <c r="AB40" s="243"/>
      <c r="AC40" s="241"/>
    </row>
    <row r="41" spans="1:29" ht="13.5" customHeight="1">
      <c r="A41" s="1" t="s">
        <v>259</v>
      </c>
      <c r="B41" s="42" t="s">
        <v>258</v>
      </c>
      <c r="C41" s="198">
        <v>0</v>
      </c>
      <c r="D41" s="198">
        <v>12.138999999999999</v>
      </c>
      <c r="E41" s="198">
        <v>25.808</v>
      </c>
      <c r="F41" s="198">
        <v>47.731000000000002</v>
      </c>
      <c r="G41" s="198">
        <v>107.245</v>
      </c>
      <c r="H41" s="198">
        <v>121.315</v>
      </c>
      <c r="I41" s="157" t="s">
        <v>233</v>
      </c>
      <c r="J41" s="157">
        <v>1.1260400362468079</v>
      </c>
      <c r="K41" s="49">
        <v>0.84946528208307504</v>
      </c>
      <c r="L41" s="49">
        <v>0.13119492750244754</v>
      </c>
      <c r="M41" s="242">
        <v>11.531000000000001</v>
      </c>
      <c r="N41" s="243">
        <v>24.687000000000001</v>
      </c>
      <c r="O41" s="243">
        <v>44.594000000000001</v>
      </c>
      <c r="P41" s="244">
        <v>112.557</v>
      </c>
      <c r="Q41" s="242">
        <v>0</v>
      </c>
      <c r="R41" s="245">
        <v>1.7999999999999999E-2</v>
      </c>
      <c r="S41" s="245">
        <v>1.667</v>
      </c>
      <c r="T41" s="245">
        <v>4.3999999999999997E-2</v>
      </c>
      <c r="U41" s="242">
        <v>-1.333</v>
      </c>
      <c r="V41" s="243">
        <v>-0.622</v>
      </c>
      <c r="W41" s="243">
        <v>-3.5710000000000002</v>
      </c>
      <c r="X41" s="243">
        <v>-5.5220000000000002</v>
      </c>
      <c r="Y41" s="242">
        <v>0.47099999999999997</v>
      </c>
      <c r="Z41" s="243">
        <v>0.90100000000000002</v>
      </c>
      <c r="AA41" s="243">
        <v>1.734</v>
      </c>
      <c r="AB41" s="243">
        <v>5.15</v>
      </c>
      <c r="AC41" s="241"/>
    </row>
    <row r="42" spans="1:29" ht="13.5" customHeight="1">
      <c r="A42" s="1" t="s">
        <v>257</v>
      </c>
      <c r="B42" s="42" t="s">
        <v>256</v>
      </c>
      <c r="C42" s="198">
        <v>78.903999999999996</v>
      </c>
      <c r="D42" s="198">
        <v>80.816999999999993</v>
      </c>
      <c r="E42" s="198">
        <v>93.972999999999999</v>
      </c>
      <c r="F42" s="198">
        <v>112.78400000000001</v>
      </c>
      <c r="G42" s="198">
        <v>152.51</v>
      </c>
      <c r="H42" s="198">
        <v>149.29599999999999</v>
      </c>
      <c r="I42" s="157">
        <v>2.4244651728682953E-2</v>
      </c>
      <c r="J42" s="157">
        <v>0.16278753232611964</v>
      </c>
      <c r="K42" s="49">
        <v>0.20017451821267818</v>
      </c>
      <c r="L42" s="49">
        <v>-2.1074027932594608E-2</v>
      </c>
      <c r="M42" s="242">
        <v>77.974999999999994</v>
      </c>
      <c r="N42" s="243">
        <v>88.344999999999999</v>
      </c>
      <c r="O42" s="243">
        <v>105.53100000000001</v>
      </c>
      <c r="P42" s="244">
        <v>133.94399999999999</v>
      </c>
      <c r="Q42" s="242">
        <v>3.278</v>
      </c>
      <c r="R42" s="245">
        <v>7.335</v>
      </c>
      <c r="S42" s="245">
        <v>-1.75</v>
      </c>
      <c r="T42" s="245">
        <v>-9.1210000000000004</v>
      </c>
      <c r="U42" s="242">
        <v>-3.867</v>
      </c>
      <c r="V42" s="243">
        <v>-1.992</v>
      </c>
      <c r="W42" s="243">
        <v>-1.2789999999999999</v>
      </c>
      <c r="X42" s="243">
        <v>-2.6040000000000001</v>
      </c>
      <c r="Y42" s="242">
        <v>0.64800000000000002</v>
      </c>
      <c r="Z42" s="243">
        <v>1.226</v>
      </c>
      <c r="AA42" s="243">
        <v>1.595</v>
      </c>
      <c r="AB42" s="243">
        <v>1.7390000000000001</v>
      </c>
      <c r="AC42" s="241"/>
    </row>
    <row r="43" spans="1:29" ht="13.5" customHeight="1">
      <c r="A43" s="1" t="s">
        <v>255</v>
      </c>
      <c r="B43" s="42" t="s">
        <v>254</v>
      </c>
      <c r="C43" s="198">
        <v>32.485999999999997</v>
      </c>
      <c r="D43" s="198">
        <v>78.772999999999996</v>
      </c>
      <c r="E43" s="198">
        <v>120.127</v>
      </c>
      <c r="F43" s="198">
        <v>243.09899999999999</v>
      </c>
      <c r="G43" s="198">
        <v>723.88</v>
      </c>
      <c r="H43" s="198">
        <v>836.43200000000002</v>
      </c>
      <c r="I43" s="157">
        <v>1.4248291571753988</v>
      </c>
      <c r="J43" s="157">
        <v>0.5249768321633046</v>
      </c>
      <c r="K43" s="49">
        <v>1.0236832685407942</v>
      </c>
      <c r="L43" s="49">
        <v>0.15548433442006959</v>
      </c>
      <c r="M43" s="242">
        <v>60.183999999999997</v>
      </c>
      <c r="N43" s="243">
        <v>94.27</v>
      </c>
      <c r="O43" s="243">
        <v>198.273</v>
      </c>
      <c r="P43" s="244">
        <v>722.98800000000006</v>
      </c>
      <c r="Q43" s="242">
        <v>-9.0090000000000003</v>
      </c>
      <c r="R43" s="245">
        <v>-18.094000000000001</v>
      </c>
      <c r="S43" s="245">
        <v>-26.216999999999999</v>
      </c>
      <c r="T43" s="245">
        <v>-130.31800000000001</v>
      </c>
      <c r="U43" s="242">
        <v>-19.579000000000001</v>
      </c>
      <c r="V43" s="243">
        <v>-13.279</v>
      </c>
      <c r="W43" s="243">
        <v>-50.026000000000003</v>
      </c>
      <c r="X43" s="243">
        <v>-113.999</v>
      </c>
      <c r="Y43" s="242">
        <v>4.8390000000000004</v>
      </c>
      <c r="Z43" s="243">
        <v>9.7539999999999996</v>
      </c>
      <c r="AA43" s="243">
        <v>15.651</v>
      </c>
      <c r="AB43" s="243">
        <v>55.936</v>
      </c>
      <c r="AC43" s="241"/>
    </row>
    <row r="44" spans="1:29" ht="13.5" customHeight="1">
      <c r="A44" s="1" t="s">
        <v>253</v>
      </c>
      <c r="B44" s="42" t="s">
        <v>252</v>
      </c>
      <c r="C44" s="198">
        <v>0</v>
      </c>
      <c r="D44" s="198">
        <v>0</v>
      </c>
      <c r="E44" s="198">
        <v>777</v>
      </c>
      <c r="F44" s="198">
        <v>1974</v>
      </c>
      <c r="G44" s="198">
        <v>4327</v>
      </c>
      <c r="H44" s="198">
        <v>4635</v>
      </c>
      <c r="I44" s="157" t="s">
        <v>233</v>
      </c>
      <c r="J44" s="157" t="s">
        <v>233</v>
      </c>
      <c r="K44" s="49">
        <v>1.5405405405405403</v>
      </c>
      <c r="L44" s="49">
        <v>7.1180956782990634E-2</v>
      </c>
      <c r="M44" s="242">
        <v>0</v>
      </c>
      <c r="N44" s="243">
        <v>554</v>
      </c>
      <c r="O44" s="243">
        <v>1481</v>
      </c>
      <c r="P44" s="244">
        <v>3421</v>
      </c>
      <c r="Q44" s="242">
        <v>0</v>
      </c>
      <c r="R44" s="245">
        <v>0</v>
      </c>
      <c r="S44" s="245">
        <v>178</v>
      </c>
      <c r="T44" s="245">
        <v>1125</v>
      </c>
      <c r="U44" s="242">
        <v>0</v>
      </c>
      <c r="V44" s="243">
        <v>-33</v>
      </c>
      <c r="W44" s="243">
        <v>-293</v>
      </c>
      <c r="X44" s="243">
        <v>-1222</v>
      </c>
      <c r="Y44" s="242">
        <v>0</v>
      </c>
      <c r="Z44" s="243">
        <v>76</v>
      </c>
      <c r="AA44" s="243">
        <v>130</v>
      </c>
      <c r="AB44" s="243">
        <v>479</v>
      </c>
      <c r="AC44" s="241"/>
    </row>
    <row r="45" spans="1:29" ht="13.5" customHeight="1">
      <c r="A45" s="1" t="s">
        <v>251</v>
      </c>
      <c r="B45" s="42" t="s">
        <v>250</v>
      </c>
      <c r="C45" s="198">
        <v>0</v>
      </c>
      <c r="D45" s="198">
        <v>298.24599999999998</v>
      </c>
      <c r="E45" s="198">
        <v>352.089</v>
      </c>
      <c r="F45" s="198">
        <v>484.63499999999999</v>
      </c>
      <c r="G45" s="198">
        <v>699.46199999999999</v>
      </c>
      <c r="H45" s="198">
        <v>731.37099999999998</v>
      </c>
      <c r="I45" s="157" t="s">
        <v>233</v>
      </c>
      <c r="J45" s="157">
        <v>0.18053217813482836</v>
      </c>
      <c r="K45" s="49">
        <v>0.37645595289827294</v>
      </c>
      <c r="L45" s="49">
        <v>4.5619347441319125E-2</v>
      </c>
      <c r="M45" s="242">
        <v>295.83199999999999</v>
      </c>
      <c r="N45" s="243">
        <v>347.52</v>
      </c>
      <c r="O45" s="243">
        <v>477.29</v>
      </c>
      <c r="P45" s="244">
        <v>720.15499999999997</v>
      </c>
      <c r="Q45" s="242">
        <v>0</v>
      </c>
      <c r="R45" s="245">
        <v>-109.92400000000001</v>
      </c>
      <c r="S45" s="245">
        <v>-77.539000000000001</v>
      </c>
      <c r="T45" s="245">
        <v>38.168999999999997</v>
      </c>
      <c r="U45" s="242">
        <v>-17.870999999999999</v>
      </c>
      <c r="V45" s="243">
        <v>-13.872999999999999</v>
      </c>
      <c r="W45" s="243">
        <v>-18.812999999999999</v>
      </c>
      <c r="X45" s="243">
        <v>-25.881</v>
      </c>
      <c r="Y45" s="242">
        <v>2.0219999999999998</v>
      </c>
      <c r="Z45" s="243">
        <v>3.3380000000000001</v>
      </c>
      <c r="AA45" s="243">
        <v>4.7670000000000003</v>
      </c>
      <c r="AB45" s="243">
        <v>6.7080000000000002</v>
      </c>
      <c r="AC45" s="241"/>
    </row>
    <row r="46" spans="1:29" ht="13.5" customHeight="1">
      <c r="A46" s="1" t="s">
        <v>249</v>
      </c>
      <c r="B46" s="42" t="s">
        <v>248</v>
      </c>
      <c r="C46" s="198">
        <v>16593.986000000001</v>
      </c>
      <c r="D46" s="198">
        <v>21796</v>
      </c>
      <c r="E46" s="198">
        <v>23651</v>
      </c>
      <c r="F46" s="198">
        <v>29321</v>
      </c>
      <c r="G46" s="198">
        <v>43162</v>
      </c>
      <c r="H46" s="198">
        <v>47543</v>
      </c>
      <c r="I46" s="49">
        <v>0.31348791062014869</v>
      </c>
      <c r="J46" s="49">
        <v>8.5107359148467676E-2</v>
      </c>
      <c r="K46" s="49">
        <v>0.23973616337575576</v>
      </c>
      <c r="L46" s="49">
        <v>0.10150132060608863</v>
      </c>
      <c r="M46" s="242">
        <v>13174</v>
      </c>
      <c r="N46" s="243">
        <v>14807</v>
      </c>
      <c r="O46" s="243">
        <v>18904</v>
      </c>
      <c r="P46" s="244">
        <v>28549</v>
      </c>
      <c r="Q46" s="242">
        <v>2030.3209999999999</v>
      </c>
      <c r="R46" s="245">
        <v>1935</v>
      </c>
      <c r="S46" s="245">
        <v>4028</v>
      </c>
      <c r="T46" s="245">
        <v>2667</v>
      </c>
      <c r="U46" s="242">
        <v>-2359</v>
      </c>
      <c r="V46" s="243">
        <v>-810</v>
      </c>
      <c r="W46" s="243">
        <v>-4018</v>
      </c>
      <c r="X46" s="243">
        <v>-3204</v>
      </c>
      <c r="Y46" s="242">
        <v>1212</v>
      </c>
      <c r="Z46" s="243">
        <v>1240</v>
      </c>
      <c r="AA46" s="243">
        <v>1067</v>
      </c>
      <c r="AB46" s="243">
        <v>1743</v>
      </c>
      <c r="AC46" s="241"/>
    </row>
    <row r="47" spans="1:29" ht="13.5" customHeight="1">
      <c r="B47" s="42"/>
      <c r="C47" s="198"/>
      <c r="D47" s="198"/>
      <c r="E47" s="198"/>
      <c r="F47" s="198"/>
      <c r="G47" s="198"/>
      <c r="H47" s="198"/>
      <c r="I47" s="49"/>
      <c r="J47" s="49"/>
      <c r="K47" s="49"/>
      <c r="L47" s="49"/>
      <c r="M47" s="242"/>
      <c r="N47" s="243"/>
      <c r="O47" s="243"/>
      <c r="P47" s="244"/>
      <c r="Q47" s="242"/>
      <c r="R47" s="245"/>
      <c r="S47" s="245"/>
      <c r="T47" s="245"/>
      <c r="U47" s="242"/>
      <c r="V47" s="243"/>
      <c r="W47" s="243"/>
      <c r="X47" s="243"/>
      <c r="Y47" s="242"/>
      <c r="Z47" s="243"/>
      <c r="AA47" s="243"/>
      <c r="AB47" s="243"/>
      <c r="AC47" s="241"/>
    </row>
    <row r="48" spans="1:29" ht="13.5" customHeight="1">
      <c r="B48" s="246" t="s">
        <v>140</v>
      </c>
      <c r="C48" s="247"/>
      <c r="D48" s="247"/>
      <c r="E48" s="247"/>
      <c r="F48" s="247"/>
      <c r="G48" s="247"/>
      <c r="H48" s="247"/>
      <c r="I48" s="248">
        <f>MAX(I41:I46)</f>
        <v>1.4248291571753988</v>
      </c>
      <c r="J48" s="248">
        <f t="shared" ref="J48:AB48" si="12">MAX(J41:J46)</f>
        <v>1.1260400362468079</v>
      </c>
      <c r="K48" s="248">
        <f t="shared" si="12"/>
        <v>1.5405405405405403</v>
      </c>
      <c r="L48" s="248">
        <f t="shared" si="12"/>
        <v>0.15548433442006959</v>
      </c>
      <c r="M48" s="249">
        <f t="shared" si="12"/>
        <v>13174</v>
      </c>
      <c r="N48" s="250">
        <f t="shared" si="12"/>
        <v>14807</v>
      </c>
      <c r="O48" s="250">
        <f t="shared" si="12"/>
        <v>18904</v>
      </c>
      <c r="P48" s="251">
        <f t="shared" si="12"/>
        <v>28549</v>
      </c>
      <c r="Q48" s="249">
        <f t="shared" si="12"/>
        <v>2030.3209999999999</v>
      </c>
      <c r="R48" s="250">
        <f t="shared" si="12"/>
        <v>1935</v>
      </c>
      <c r="S48" s="250">
        <f t="shared" si="12"/>
        <v>4028</v>
      </c>
      <c r="T48" s="250">
        <f t="shared" si="12"/>
        <v>2667</v>
      </c>
      <c r="U48" s="249">
        <f t="shared" si="12"/>
        <v>0</v>
      </c>
      <c r="V48" s="250">
        <f t="shared" si="12"/>
        <v>-0.622</v>
      </c>
      <c r="W48" s="250">
        <f t="shared" si="12"/>
        <v>-1.2789999999999999</v>
      </c>
      <c r="X48" s="250">
        <f t="shared" si="12"/>
        <v>-2.6040000000000001</v>
      </c>
      <c r="Y48" s="249">
        <f t="shared" si="12"/>
        <v>1212</v>
      </c>
      <c r="Z48" s="250">
        <f t="shared" si="12"/>
        <v>1240</v>
      </c>
      <c r="AA48" s="250">
        <f t="shared" si="12"/>
        <v>1067</v>
      </c>
      <c r="AB48" s="252">
        <f t="shared" si="12"/>
        <v>1743</v>
      </c>
      <c r="AC48" s="241"/>
    </row>
    <row r="49" spans="1:29" ht="13.5" customHeight="1">
      <c r="B49" s="253" t="s">
        <v>146</v>
      </c>
      <c r="C49" s="254"/>
      <c r="D49" s="254"/>
      <c r="E49" s="254"/>
      <c r="F49" s="254"/>
      <c r="G49" s="254"/>
      <c r="H49" s="254"/>
      <c r="I49" s="255">
        <f>AVERAGE(I41:I46)</f>
        <v>0.58752057317474349</v>
      </c>
      <c r="J49" s="255">
        <f t="shared" ref="J49:AB49" si="13">AVERAGE(J41:J46)</f>
        <v>0.41588878760390563</v>
      </c>
      <c r="K49" s="255">
        <f t="shared" si="13"/>
        <v>0.70500928760851933</v>
      </c>
      <c r="L49" s="255">
        <f t="shared" si="13"/>
        <v>8.0651143136720158E-2</v>
      </c>
      <c r="M49" s="242">
        <f t="shared" si="13"/>
        <v>2269.9203333333335</v>
      </c>
      <c r="N49" s="245">
        <f t="shared" si="13"/>
        <v>2652.6370000000002</v>
      </c>
      <c r="O49" s="245">
        <f t="shared" si="13"/>
        <v>3535.1146666666668</v>
      </c>
      <c r="P49" s="256">
        <f t="shared" si="13"/>
        <v>5609.9406666666664</v>
      </c>
      <c r="Q49" s="242">
        <f t="shared" si="13"/>
        <v>337.43166666666667</v>
      </c>
      <c r="R49" s="245">
        <f t="shared" si="13"/>
        <v>302.38916666666665</v>
      </c>
      <c r="S49" s="245">
        <f t="shared" si="13"/>
        <v>683.69349999999997</v>
      </c>
      <c r="T49" s="245">
        <f t="shared" si="13"/>
        <v>615.12900000000002</v>
      </c>
      <c r="U49" s="242">
        <f t="shared" si="13"/>
        <v>-400.27500000000003</v>
      </c>
      <c r="V49" s="245">
        <f t="shared" si="13"/>
        <v>-145.46099999999998</v>
      </c>
      <c r="W49" s="245">
        <f t="shared" si="13"/>
        <v>-730.78150000000005</v>
      </c>
      <c r="X49" s="245">
        <f t="shared" si="13"/>
        <v>-762.33433333333335</v>
      </c>
      <c r="Y49" s="242">
        <f t="shared" si="13"/>
        <v>203.33</v>
      </c>
      <c r="Z49" s="245">
        <f t="shared" si="13"/>
        <v>221.86983333333333</v>
      </c>
      <c r="AA49" s="245">
        <f t="shared" si="13"/>
        <v>203.45783333333335</v>
      </c>
      <c r="AB49" s="257">
        <f t="shared" si="13"/>
        <v>381.92216666666667</v>
      </c>
      <c r="AC49" s="241"/>
    </row>
    <row r="50" spans="1:29" ht="13.5" customHeight="1">
      <c r="B50" s="253" t="s">
        <v>239</v>
      </c>
      <c r="C50" s="254"/>
      <c r="D50" s="254"/>
      <c r="E50" s="254"/>
      <c r="F50" s="254"/>
      <c r="G50" s="254"/>
      <c r="H50" s="254"/>
      <c r="I50" s="255">
        <f>MEDIAN(I41:I46)</f>
        <v>0.31348791062014869</v>
      </c>
      <c r="J50" s="255">
        <f t="shared" ref="J50:AB50" si="14">MEDIAN(J41:J46)</f>
        <v>0.18053217813482836</v>
      </c>
      <c r="K50" s="255">
        <f t="shared" si="14"/>
        <v>0.61296061749067399</v>
      </c>
      <c r="L50" s="255">
        <f t="shared" si="14"/>
        <v>8.6341138694539632E-2</v>
      </c>
      <c r="M50" s="242">
        <f t="shared" si="14"/>
        <v>69.079499999999996</v>
      </c>
      <c r="N50" s="245">
        <f t="shared" si="14"/>
        <v>220.89499999999998</v>
      </c>
      <c r="O50" s="245">
        <f t="shared" si="14"/>
        <v>337.78150000000005</v>
      </c>
      <c r="P50" s="256">
        <f t="shared" si="14"/>
        <v>721.57150000000001</v>
      </c>
      <c r="Q50" s="242">
        <f t="shared" si="14"/>
        <v>0</v>
      </c>
      <c r="R50" s="245">
        <f t="shared" si="14"/>
        <v>8.9999999999999993E-3</v>
      </c>
      <c r="S50" s="245">
        <f t="shared" si="14"/>
        <v>-4.1500000000000092E-2</v>
      </c>
      <c r="T50" s="245">
        <f t="shared" si="14"/>
        <v>19.1065</v>
      </c>
      <c r="U50" s="242">
        <f t="shared" si="14"/>
        <v>-10.869</v>
      </c>
      <c r="V50" s="245">
        <f t="shared" si="14"/>
        <v>-13.576000000000001</v>
      </c>
      <c r="W50" s="245">
        <f t="shared" si="14"/>
        <v>-34.419499999999999</v>
      </c>
      <c r="X50" s="245">
        <f t="shared" si="14"/>
        <v>-69.94</v>
      </c>
      <c r="Y50" s="242">
        <f t="shared" si="14"/>
        <v>1.335</v>
      </c>
      <c r="Z50" s="245">
        <f t="shared" si="14"/>
        <v>6.5459999999999994</v>
      </c>
      <c r="AA50" s="245">
        <f t="shared" si="14"/>
        <v>10.209</v>
      </c>
      <c r="AB50" s="257">
        <f t="shared" si="14"/>
        <v>31.322000000000003</v>
      </c>
      <c r="AC50" s="241"/>
    </row>
    <row r="51" spans="1:29" ht="13.5" customHeight="1">
      <c r="B51" s="258" t="s">
        <v>141</v>
      </c>
      <c r="C51" s="259"/>
      <c r="D51" s="259"/>
      <c r="E51" s="259"/>
      <c r="F51" s="259"/>
      <c r="G51" s="259"/>
      <c r="H51" s="259"/>
      <c r="I51" s="260">
        <f>MIN(I41:I46)</f>
        <v>2.4244651728682953E-2</v>
      </c>
      <c r="J51" s="260">
        <f t="shared" ref="J51:AB51" si="15">MIN(J41:J46)</f>
        <v>8.5107359148467676E-2</v>
      </c>
      <c r="K51" s="260">
        <f t="shared" si="15"/>
        <v>0.20017451821267818</v>
      </c>
      <c r="L51" s="260">
        <f t="shared" si="15"/>
        <v>-2.1074027932594608E-2</v>
      </c>
      <c r="M51" s="261">
        <f t="shared" si="15"/>
        <v>0</v>
      </c>
      <c r="N51" s="262">
        <f t="shared" si="15"/>
        <v>24.687000000000001</v>
      </c>
      <c r="O51" s="262">
        <f t="shared" si="15"/>
        <v>44.594000000000001</v>
      </c>
      <c r="P51" s="263">
        <f t="shared" si="15"/>
        <v>112.557</v>
      </c>
      <c r="Q51" s="261">
        <f t="shared" si="15"/>
        <v>-9.0090000000000003</v>
      </c>
      <c r="R51" s="262">
        <f t="shared" si="15"/>
        <v>-109.92400000000001</v>
      </c>
      <c r="S51" s="262">
        <f t="shared" si="15"/>
        <v>-77.539000000000001</v>
      </c>
      <c r="T51" s="262">
        <f t="shared" si="15"/>
        <v>-130.31800000000001</v>
      </c>
      <c r="U51" s="261">
        <f t="shared" si="15"/>
        <v>-2359</v>
      </c>
      <c r="V51" s="262">
        <f t="shared" si="15"/>
        <v>-810</v>
      </c>
      <c r="W51" s="262">
        <f t="shared" si="15"/>
        <v>-4018</v>
      </c>
      <c r="X51" s="262">
        <f t="shared" si="15"/>
        <v>-3204</v>
      </c>
      <c r="Y51" s="261">
        <f t="shared" si="15"/>
        <v>0</v>
      </c>
      <c r="Z51" s="262">
        <f t="shared" si="15"/>
        <v>0.90100000000000002</v>
      </c>
      <c r="AA51" s="262">
        <f t="shared" si="15"/>
        <v>1.595</v>
      </c>
      <c r="AB51" s="264">
        <f t="shared" si="15"/>
        <v>1.7390000000000001</v>
      </c>
      <c r="AC51" s="241"/>
    </row>
    <row r="52" spans="1:29" ht="13.5" customHeight="1">
      <c r="B52" s="180"/>
      <c r="C52" s="174"/>
      <c r="D52" s="173"/>
      <c r="E52" s="157"/>
      <c r="M52" s="241"/>
      <c r="Q52" s="241"/>
      <c r="U52" s="241"/>
      <c r="Y52" s="241"/>
      <c r="AC52" s="241"/>
    </row>
    <row r="53" spans="1:29" s="166" customFormat="1" ht="13.5" customHeight="1">
      <c r="A53" s="166" t="s">
        <v>247</v>
      </c>
      <c r="B53" s="171" t="s">
        <v>246</v>
      </c>
      <c r="C53" s="265">
        <v>14.298999999999999</v>
      </c>
      <c r="D53" s="266">
        <v>19.332999999999998</v>
      </c>
      <c r="E53" s="266">
        <v>55.189</v>
      </c>
      <c r="F53" s="267">
        <v>137.76400000000001</v>
      </c>
      <c r="G53" s="267">
        <v>338.38499999999999</v>
      </c>
      <c r="H53" s="267">
        <v>383.38200000000001</v>
      </c>
      <c r="I53" s="268">
        <v>0.35205259109028586</v>
      </c>
      <c r="J53" s="268">
        <v>1.8546526664252836</v>
      </c>
      <c r="K53" s="268">
        <v>1.4962220732392328</v>
      </c>
      <c r="L53" s="268">
        <v>0.13297575247129756</v>
      </c>
      <c r="M53" s="269">
        <v>-3.8359999999999999</v>
      </c>
      <c r="N53" s="269">
        <v>14.351000000000001</v>
      </c>
      <c r="O53" s="269">
        <v>56.847999999999999</v>
      </c>
      <c r="P53" s="269">
        <v>123.712</v>
      </c>
      <c r="Q53" s="270">
        <v>-9.7249999999999996</v>
      </c>
      <c r="R53" s="270">
        <v>3.01</v>
      </c>
      <c r="S53" s="270">
        <v>0.42599999999999999</v>
      </c>
      <c r="T53" s="270">
        <v>9.2989999999999995</v>
      </c>
      <c r="U53" s="270">
        <v>-0.61499999999999999</v>
      </c>
      <c r="V53" s="270">
        <v>-1.8919999999999999</v>
      </c>
      <c r="W53" s="270">
        <v>-8.2110000000000003</v>
      </c>
      <c r="X53" s="270">
        <v>-8.6010000000000009</v>
      </c>
      <c r="Y53" s="270">
        <v>1.151</v>
      </c>
      <c r="Z53" s="270">
        <v>1.143</v>
      </c>
      <c r="AA53" s="270">
        <v>1.5780000000000001</v>
      </c>
      <c r="AB53" s="270">
        <v>6.6150000000000002</v>
      </c>
    </row>
    <row r="54" spans="1:29" ht="13.5" customHeight="1">
      <c r="D54" s="24"/>
      <c r="E54" s="24"/>
    </row>
    <row r="55" spans="1:29" ht="13.5" customHeight="1">
      <c r="D55" s="24"/>
      <c r="E55" s="24"/>
    </row>
    <row r="56" spans="1:29" ht="13.5" customHeight="1">
      <c r="D56" s="24"/>
      <c r="E56" s="24"/>
    </row>
    <row r="57" spans="1:29" ht="13.5" customHeight="1">
      <c r="D57" s="24"/>
      <c r="E57" s="24"/>
    </row>
    <row r="58" spans="1:29" ht="13.5" customHeight="1">
      <c r="D58" s="24"/>
      <c r="E58" s="24"/>
    </row>
  </sheetData>
  <pageMargins left="0.7" right="0.7" top="0.75" bottom="0.75" header="0.3" footer="0.3"/>
  <pageSetup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Assumptions</vt:lpstr>
      <vt:lpstr>Revenue Build</vt:lpstr>
      <vt:lpstr>Costs Build</vt:lpstr>
      <vt:lpstr>DCF</vt:lpstr>
      <vt:lpstr>WACC</vt:lpstr>
      <vt:lpstr>NWC</vt:lpstr>
      <vt:lpstr>FootballField</vt:lpstr>
      <vt:lpstr>Precedents</vt:lpstr>
      <vt:lpstr>Precedents Data</vt:lpstr>
      <vt:lpstr>Market Multiples Analysis</vt:lpstr>
      <vt:lpstr>Performance Analysis</vt:lpstr>
      <vt:lpstr>Historical Performance</vt:lpstr>
      <vt:lpstr>FootballField!Print_Area</vt:lpstr>
      <vt:lpstr>'Historical Performance'!Print_Area</vt:lpstr>
      <vt:lpstr>'Market Multiples Analysis'!Print_Area</vt:lpstr>
      <vt:lpstr>'Performance Analysis'!Print_Area</vt:lpstr>
    </vt:vector>
  </TitlesOfParts>
  <Company>University of Southern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abigailc</dc:creator>
  <cp:lastModifiedBy>Marshall School of Business</cp:lastModifiedBy>
  <dcterms:created xsi:type="dcterms:W3CDTF">2012-12-02T18:17:29Z</dcterms:created>
  <dcterms:modified xsi:type="dcterms:W3CDTF">2012-12-13T00:07:53Z</dcterms:modified>
</cp:coreProperties>
</file>